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codeName="ThisWorkbook" defaultThemeVersion="124226"/>
  <bookViews>
    <workbookView xWindow="645" yWindow="0"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<sst xmlns="http://schemas.openxmlformats.org/spreadsheetml/2006/main" count="36010" uniqueCount="11695">
  <si>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</si>
  <si>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</si>
  <si>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</si>
  <si>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</si>
  <si>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</si>
  <si>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</si>
  <si>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</si>
  <si>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</si>
  <si>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</si>
  <si>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</si>
  <si>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</si>
  <si>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</si>
  <si>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</si>
  <si>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</si>
  <si>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</si>
  <si>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</si>
  <si>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</si>
  <si>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</si>
  <si>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</si>
  <si>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</si>
  <si>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</si>
  <si>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</si>
  <si>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</si>
  <si>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</si>
  <si>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</si>
  <si>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</si>
  <si>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</si>
  <si>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</si>
  <si>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</si>
  <si>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</si>
  <si>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</si>
  <si>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</si>
  <si>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</si>
  <si>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</si>
  <si>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</si>
  <si>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</si>
  <si>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</si>
  <si>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</si>
  <si>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</si>
  <si>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</si>
  <si>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</si>
  <si>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</si>
  <si>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</si>
  <si>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</si>
  <si>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</si>
  <si>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</si>
  <si>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</si>
  <si>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</si>
  <si>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</si>
  <si>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</si>
  <si>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</si>
  <si>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</si>
  <si>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</si>
  <si>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</si>
  <si>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</si>
  <si>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</si>
  <si>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</si>
  <si>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</si>
  <si>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</si>
  <si>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</si>
  <si>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</si>
  <si>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</si>
  <si>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</si>
  <si>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</si>
  <si>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</si>
  <si>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</si>
  <si>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</si>
  <si>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</si>
  <si>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</si>
  <si>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</si>
  <si>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</si>
  <si>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</si>
  <si>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</si>
  <si>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</si>
  <si>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</si>
  <si>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</si>
  <si>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</si>
  <si>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</si>
  <si>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</si>
  <si>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</si>
  <si>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</si>
  <si>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</si>
  <si>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</si>
  <si>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</si>
  <si>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</si>
  <si>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</si>
  <si>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</si>
  <si>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</si>
  <si>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</si>
  <si>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</si>
  <si>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</si>
  <si>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</si>
  <si>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</si>
  <si>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</si>
  <si>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</si>
  <si>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</si>
  <si>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</si>
  <si>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</si>
  <si>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</si>
  <si>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</si>
  <si>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</si>
  <si>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</si>
  <si>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</si>
  <si>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</si>
  <si>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</si>
  <si>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</si>
  <si>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</si>
  <si>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</si>
  <si>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</si>
  <si>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</si>
  <si>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</si>
  <si>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</si>
  <si>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</si>
  <si>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</si>
  <si>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</si>
  <si>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</si>
  <si>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</si>
  <si>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</si>
  <si>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</si>
  <si>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</si>
  <si>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</si>
  <si>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</si>
  <si>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</si>
  <si>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</si>
  <si>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</si>
  <si>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</si>
  <si>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</si>
  <si>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</si>
  <si>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</si>
  <si>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</si>
  <si>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</si>
  <si>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</si>
  <si>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</si>
  <si>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</si>
  <si>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</si>
  <si>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</si>
  <si>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</si>
  <si>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</si>
  <si>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</si>
  <si>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</si>
  <si>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</si>
  <si>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</si>
  <si>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</si>
  <si>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</si>
  <si>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</si>
  <si>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</si>
  <si>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</si>
  <si>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</si>
  <si>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</si>
  <si>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</si>
  <si>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</si>
  <si>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</si>
  <si>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</si>
  <si>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</si>
  <si>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</si>
  <si>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</si>
  <si>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</si>
  <si>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</si>
  <si>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</si>
  <si>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</si>
  <si>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</si>
  <si>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</si>
  <si>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</si>
  <si>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</si>
  <si>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</si>
  <si>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</si>
  <si>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</si>
  <si>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</si>
  <si>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</si>
  <si>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</si>
  <si>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</si>
  <si>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</si>
  <si>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</si>
  <si>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</si>
  <si>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</si>
  <si>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</si>
  <si>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</si>
  <si>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</si>
  <si>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</si>
  <si>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</si>
  <si>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</si>
  <si>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</si>
  <si>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</si>
  <si>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</si>
  <si>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</si>
  <si>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</si>
  <si>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</si>
  <si>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</si>
  <si>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</si>
  <si>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</si>
  <si>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</si>
  <si>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</si>
  <si>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</si>
  <si>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</si>
  <si>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</si>
  <si>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</si>
  <si>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</si>
  <si>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</si>
  <si>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</si>
  <si>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</si>
  <si>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</si>
  <si>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</si>
  <si>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</si>
  <si>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</si>
  <si>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</si>
  <si>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</si>
  <si>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</si>
  <si>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</si>
  <si>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</si>
  <si>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</si>
  <si>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</si>
  <si>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</si>
  <si>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</si>
  <si>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</si>
  <si>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</si>
  <si>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</si>
  <si>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</si>
  <si>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</si>
  <si>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</si>
  <si>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</si>
  <si>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</si>
  <si>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</si>
  <si>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</si>
  <si>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2020insofewways</t>
  </si>
  <si>
    <t>phuocerman</t>
  </si>
  <si>
    <t>kibongerawlins</t>
  </si>
  <si>
    <t>cmpaugh</t>
  </si>
  <si>
    <t>byronstine</t>
  </si>
  <si>
    <t>missbeccabenz</t>
  </si>
  <si>
    <t>progressglobe</t>
  </si>
  <si>
    <t>2a_allday</t>
  </si>
  <si>
    <t>larssonrealtor</t>
  </si>
  <si>
    <t>tradedebater</t>
  </si>
  <si>
    <t>eclecticradical</t>
  </si>
  <si>
    <t>darealgreglopez</t>
  </si>
  <si>
    <t>aaronpoole85</t>
  </si>
  <si>
    <t>1markcoker</t>
  </si>
  <si>
    <t>saylahachey</t>
  </si>
  <si>
    <t>dc_us</t>
  </si>
  <si>
    <t>dennisthatsit</t>
  </si>
  <si>
    <t>glorianelson</t>
  </si>
  <si>
    <t>tina67536990</t>
  </si>
  <si>
    <t>rls2231404958</t>
  </si>
  <si>
    <t>jennife39481653</t>
  </si>
  <si>
    <t>khazeni</t>
  </si>
  <si>
    <t>izi_kljucanin</t>
  </si>
  <si>
    <t>sfmission2</t>
  </si>
  <si>
    <t>samfacto</t>
  </si>
  <si>
    <t>robertjkingsbu1</t>
  </si>
  <si>
    <t>breakingpdxnews</t>
  </si>
  <si>
    <t>ritchieontrack</t>
  </si>
  <si>
    <t>seenadsgo</t>
  </si>
  <si>
    <t>zerocharisma</t>
  </si>
  <si>
    <t>minitruearchive</t>
  </si>
  <si>
    <t>on_bicycle</t>
  </si>
  <si>
    <t>kythrawowalls</t>
  </si>
  <si>
    <t>davidtaple90421</t>
  </si>
  <si>
    <t>fairleyphoto</t>
  </si>
  <si>
    <t>gcsaa_nw</t>
  </si>
  <si>
    <t>coachbalto</t>
  </si>
  <si>
    <t>bucketyboo_96</t>
  </si>
  <si>
    <t>anniesong62</t>
  </si>
  <si>
    <t>gregormacdonald</t>
  </si>
  <si>
    <t>stumptowngrrl</t>
  </si>
  <si>
    <t>aquabluelounge</t>
  </si>
  <si>
    <t>maxbelousovgg</t>
  </si>
  <si>
    <t>katesattler</t>
  </si>
  <si>
    <t>ohsubrain</t>
  </si>
  <si>
    <t>senjeffmerkley</t>
  </si>
  <si>
    <t>luke_the_duke00</t>
  </si>
  <si>
    <t>toonimator</t>
  </si>
  <si>
    <t>robotvirgin</t>
  </si>
  <si>
    <t>shooty_mcbooty</t>
  </si>
  <si>
    <t>theemsmolly</t>
  </si>
  <si>
    <t>fauxnamerice</t>
  </si>
  <si>
    <t>lisaandemma</t>
  </si>
  <si>
    <t>tinastinnett007</t>
  </si>
  <si>
    <t>pdxfanatic</t>
  </si>
  <si>
    <t>w7enk</t>
  </si>
  <si>
    <t>xsandman00</t>
  </si>
  <si>
    <t>em1liath</t>
  </si>
  <si>
    <t>herlihy_f</t>
  </si>
  <si>
    <t>pardonmypain</t>
  </si>
  <si>
    <t>wingsatlast</t>
  </si>
  <si>
    <t>kgwnews</t>
  </si>
  <si>
    <t>shaving_s</t>
  </si>
  <si>
    <t>chuckwoolery</t>
  </si>
  <si>
    <t>billy_purcell</t>
  </si>
  <si>
    <t>art_burke</t>
  </si>
  <si>
    <t>mordechaiklompa</t>
  </si>
  <si>
    <t>gentlypress</t>
  </si>
  <si>
    <t>beautiful_str34</t>
  </si>
  <si>
    <t>muellershewrote</t>
  </si>
  <si>
    <t>murray_tim</t>
  </si>
  <si>
    <t>weatherjefe</t>
  </si>
  <si>
    <t>dedevotesblue</t>
  </si>
  <si>
    <t>vanhopecomedy</t>
  </si>
  <si>
    <t>foeayem</t>
  </si>
  <si>
    <t>smithtootie</t>
  </si>
  <si>
    <t>anmolrightnow</t>
  </si>
  <si>
    <t>shannoncmallory</t>
  </si>
  <si>
    <t>petertaylor_01</t>
  </si>
  <si>
    <t>alexiislex</t>
  </si>
  <si>
    <t>dickmar52</t>
  </si>
  <si>
    <t>benedtl</t>
  </si>
  <si>
    <t>sawyerhackett</t>
  </si>
  <si>
    <t>pdxsburning</t>
  </si>
  <si>
    <t>hannahcrazyhawk</t>
  </si>
  <si>
    <t>seiginotora_tm</t>
  </si>
  <si>
    <t>nickfent</t>
  </si>
  <si>
    <t>oddswithgop</t>
  </si>
  <si>
    <t>a21starman</t>
  </si>
  <si>
    <t>dutch52050550</t>
  </si>
  <si>
    <t>lostdiva</t>
  </si>
  <si>
    <t>beelofosho</t>
  </si>
  <si>
    <t>j_mcdonald81</t>
  </si>
  <si>
    <t>pdxblake</t>
  </si>
  <si>
    <t>mysportsupdate</t>
  </si>
  <si>
    <t>quintonmurdock</t>
  </si>
  <si>
    <t>hardlee73</t>
  </si>
  <si>
    <t>joannanobanana</t>
  </si>
  <si>
    <t>henspangled2020</t>
  </si>
  <si>
    <t>goodvibepolitik</t>
  </si>
  <si>
    <t>susan35763565</t>
  </si>
  <si>
    <t>lindas_here</t>
  </si>
  <si>
    <t>therealfarley</t>
  </si>
  <si>
    <t>pdxbizjournal</t>
  </si>
  <si>
    <t>oregonian</t>
  </si>
  <si>
    <t>pdxreal1</t>
  </si>
  <si>
    <t>zlorple</t>
  </si>
  <si>
    <t>spartytoon</t>
  </si>
  <si>
    <t>italiangirl104</t>
  </si>
  <si>
    <t>kenwelcome0001</t>
  </si>
  <si>
    <t>smilinandy</t>
  </si>
  <si>
    <t>wintheday848</t>
  </si>
  <si>
    <t>fox12oregon</t>
  </si>
  <si>
    <t>miavtv</t>
  </si>
  <si>
    <t>kavanah613</t>
  </si>
  <si>
    <t>zciwogor</t>
  </si>
  <si>
    <t>dickhughes</t>
  </si>
  <si>
    <t>chase_the_high</t>
  </si>
  <si>
    <t>decayingla</t>
  </si>
  <si>
    <t>bestwildclips</t>
  </si>
  <si>
    <t>captcoronado</t>
  </si>
  <si>
    <t>aa_ronneous</t>
  </si>
  <si>
    <t>okron8</t>
  </si>
  <si>
    <t>kennedyk24</t>
  </si>
  <si>
    <t>diedsuddenly_</t>
  </si>
  <si>
    <t>barry317446</t>
  </si>
  <si>
    <t>negroleagueman</t>
  </si>
  <si>
    <t>oregoncitizen_</t>
  </si>
  <si>
    <t>mrs_socialista</t>
  </si>
  <si>
    <t>tek_sauce</t>
  </si>
  <si>
    <t>jakeguyco</t>
  </si>
  <si>
    <t>dannymarang</t>
  </si>
  <si>
    <t>joepompliano</t>
  </si>
  <si>
    <t>endofracism</t>
  </si>
  <si>
    <t>intm_student</t>
  </si>
  <si>
    <t>keneakers</t>
  </si>
  <si>
    <t>rondesantis</t>
  </si>
  <si>
    <t>teamdesantis</t>
  </si>
  <si>
    <t>madeintheusanj</t>
  </si>
  <si>
    <t>millieminet</t>
  </si>
  <si>
    <t>lecheconcoffee</t>
  </si>
  <si>
    <t>nypost</t>
  </si>
  <si>
    <t>jamescrepea</t>
  </si>
  <si>
    <t>thavyxay</t>
  </si>
  <si>
    <t>disableddoctor</t>
  </si>
  <si>
    <t>galena_white</t>
  </si>
  <si>
    <t>jazzie654</t>
  </si>
  <si>
    <t>carissasnewlife</t>
  </si>
  <si>
    <t>cardiwithpearls</t>
  </si>
  <si>
    <t>slavomiravac2</t>
  </si>
  <si>
    <t>toll_mathew</t>
  </si>
  <si>
    <t>suhlabs</t>
  </si>
  <si>
    <t>redbuckman</t>
  </si>
  <si>
    <t>oregondot</t>
  </si>
  <si>
    <t>lupus_chat</t>
  </si>
  <si>
    <t>oregonlive</t>
  </si>
  <si>
    <t>usdot</t>
  </si>
  <si>
    <t>quigonjenna</t>
  </si>
  <si>
    <t>markceleste2727</t>
  </si>
  <si>
    <t>steakfrankhouse</t>
  </si>
  <si>
    <t>greg16676935420</t>
  </si>
  <si>
    <t>weedlings73</t>
  </si>
  <si>
    <t>ronnyjacksontx</t>
  </si>
  <si>
    <t>yashar</t>
  </si>
  <si>
    <t>mehdirhasan</t>
  </si>
  <si>
    <t>naomi_d_harvey</t>
  </si>
  <si>
    <t>rncresearch</t>
  </si>
  <si>
    <t>collinrugg</t>
  </si>
  <si>
    <t>nothoodlum</t>
  </si>
  <si>
    <t>moderna_tx</t>
  </si>
  <si>
    <t>alexberenson</t>
  </si>
  <si>
    <t>mojocuba</t>
  </si>
  <si>
    <t>robin_shattock</t>
  </si>
  <si>
    <t>stkirsch</t>
  </si>
  <si>
    <t>kevinnbass</t>
  </si>
  <si>
    <t>trevor00988477</t>
  </si>
  <si>
    <t>meechiejacobs</t>
  </si>
  <si>
    <t>babyesko3900</t>
  </si>
  <si>
    <t>blakjordanbreen</t>
  </si>
  <si>
    <t>csmoove_sports</t>
  </si>
  <si>
    <t>meggie_meg26</t>
  </si>
  <si>
    <t>bessbousaa</t>
  </si>
  <si>
    <t>lakotaman1</t>
  </si>
  <si>
    <t>deonteddj</t>
  </si>
  <si>
    <t>20minpromo</t>
  </si>
  <si>
    <t>kiryussideburns</t>
  </si>
  <si>
    <t>newworldanglo</t>
  </si>
  <si>
    <t>maxmad39388773</t>
  </si>
  <si>
    <t>streetfighthard</t>
  </si>
  <si>
    <t>wadeturnbull</t>
  </si>
  <si>
    <t>marypop987</t>
  </si>
  <si>
    <t>rayterrill</t>
  </si>
  <si>
    <t>lukeroth1015</t>
  </si>
  <si>
    <t>nomorefreeways</t>
  </si>
  <si>
    <t>miamidolphins</t>
  </si>
  <si>
    <t>sabo_cat161</t>
  </si>
  <si>
    <t>oregonsos</t>
  </si>
  <si>
    <t>jeffmerkley</t>
  </si>
  <si>
    <t>repblumenauer</t>
  </si>
  <si>
    <t>repbonamici</t>
  </si>
  <si>
    <t>tuckercarlson</t>
  </si>
  <si>
    <t>seanhannity</t>
  </si>
  <si>
    <t>janninereid1</t>
  </si>
  <si>
    <t>mgpforcongress</t>
  </si>
  <si>
    <t>a_tothe_z_amber</t>
  </si>
  <si>
    <t>ac7ionmann</t>
  </si>
  <si>
    <t>itsbedtime_</t>
  </si>
  <si>
    <t>tyleroakley</t>
  </si>
  <si>
    <t>hunnybadgermom</t>
  </si>
  <si>
    <t>msolurin</t>
  </si>
  <si>
    <t>dwallacewells</t>
  </si>
  <si>
    <t>tinselfire</t>
  </si>
  <si>
    <t>cobraeconomics</t>
  </si>
  <si>
    <t>orcapitalbureau</t>
  </si>
  <si>
    <t>MentionsInReplyTo</t>
  </si>
  <si>
    <t>Replies to</t>
  </si>
  <si>
    <t>Quote</t>
  </si>
  <si>
    <t>Mentions</t>
  </si>
  <si>
    <t>MentionsInQuote</t>
  </si>
  <si>
    <t>@DecayingLA @chase_the_high Looking at history long before computers or AI, you see the death toll trending data from the crusades. https://t.co/ml66bgk1Rv</t>
  </si>
  <si>
    <t>SC: "Obviously we love this environment (Providence Park), but the turf does take a toll, you know."
"The new ownership has come in, been really vocal &amp;amp; adamant about that being a priority and they're getting things done which is amazing to hear and be a part of."
#BAONPDX</t>
  </si>
  <si>
    <t>@kennedyk24 @okron8 @AA_Ronneous @CaptCoronado @bestwildclips A lot fam people get drunk and accidentally kill people all the time. Look at the death toll in boxing a combat sport with actual medical staff on site.</t>
  </si>
  <si>
    <t>@benedtl Toll roads and congestion fees are about keeping the lower-and-middle classes off the streets so the wealthy have shorter commute times.</t>
  </si>
  <si>
    <t>@Barry317446 @DiedSuddenly_ Yes. There are some doctors who gave a timeframe of 3 to 5 years where we will see a massive aggregate death toll rise because of a certain new "therapeutic." We’re at about that timeframe. One doctor I saw speak said he did the math and he's seeing the numbers rise already.</t>
  </si>
  <si>
    <t>@NegroLeagueMan I'm always struck by how much he aged during the ten years he played for the Dodgers, which shows the tremendous toll those years took on him. I can't imagine the mental strength and discipline it took for him to not retaliate against the racism he dealt with every day.</t>
  </si>
  <si>
    <t>Palestinian death toll in Gaza surpasses 25,000 while Israel announces the death of another hostage https://t.co/YrmPNysmFu</t>
  </si>
  <si>
    <t>Death toll in Gaza surpasses 25,000 as Israel steps up attacks https://t.co/NFD5HRQOQc</t>
  </si>
  <si>
    <t>This state and city love taxing people to death. 
Next they should add a toll so you have to pay a toll to use drugs freely in public downtown.</t>
  </si>
  <si>
    <t>Being a real estate professional isn’t an easy career.  Late night long days and working 7 days a week takes a toll, but if you love your client’s and deal-making its  well worth it _xD83D__xDE4C_
#realtor #realtorlife #RealEstate #realestateagent #exprealty #mrexp #grinding https://t.co/StZl8Mf9Wn</t>
  </si>
  <si>
    <t>@oregoncitizen_ Well they are offering 16k a month for a Lead person on setting up the toll roads.</t>
  </si>
  <si>
    <t>@jakeguyco @tek_sauce @mrs_socialista Now do the American regime's death toll in Syria, and those of their ISIS and al-Nusra allies.</t>
  </si>
  <si>
    <t>75 BILLION DOLLARS. 
_xD83D__xDE21__xD83D__xDE21__xD83D__xDE21__xD83D__xDE21__xD83D__xDE21__xD83D__xDE21__xD83D__xDE21__xD83D__xDE21__xD83D__xDE21_
We have people in need in Maui
Death toll is currently 80 and rising (they have yet to clear homes) 
I drove by massive homeless communities in Portland tonight. 
Our HOUSE is not in order. 
We need to get our house in order before we fix… https://t.co/QgciUgeU3P</t>
  </si>
  <si>
    <t>A slew of injuries and poor offseason roster management has had a toll on the team's league performance and a disappointing exit at home to RSL in the Open Cup relatively early. The team had a transfer window and getting everyone healthy again it felt the stars may align</t>
  </si>
  <si>
    <t>@DannyMarang Danny you have to stop being so hard on you computer. Maybe play so classical music when you away at work. The Heavy Metal is taking its toll. Or a good dusting. Your choice.</t>
  </si>
  <si>
    <t>Listing to a number of PODs on the Blazers. You all are being to critical of the team that’s not played together all season. I mean for more than 5 games in a row with the same starting 5. Losing games takes a toll on the players. Is the coach the issues yes, but not the reason…</t>
  </si>
  <si>
    <t>What is the mental toll of cancer on a patient?</t>
  </si>
  <si>
    <t>5 "The pandemic's true death toll". The Economist.
6  Ritchie, Hannah; Mathieu, Edouard; Rodés-Guirao, Lucas; Appel, Cameron; Giattino, Charlie; Ortiz-Ospina, Esteban; Hasell, Joe; Macdonald, Bobbie; Beltekian, Diana; Roser, Max (5 Mar 2020). "Coronavirus Pandemic (COVID-19)".</t>
  </si>
  <si>
    <t>Years ago, I remember reading the account of a wife of a game developer who had to move around from studio to studio on a biannual basis, and the toll it took on them and their kids...
There's no excuse for this industry to not primarily be work from home.</t>
  </si>
  <si>
    <t>@JoePompliano That’s pretty cool!  I’d like to roll out my back yard and toll in some new fresh grass with no brown spots!</t>
  </si>
  <si>
    <t>@IntM_student @endofracism You find statistics IF YOU WANT yourself.
About 130,000 had to evacuate when Trump abandoned them. I don't know the death toll.
Just saying....you think Biden is bad. Trump is worse. Look at Trump backing Saudis in Yemen.
https://t.co/t0Tcwku7i2 https://t.co/VMWJZfPUWv</t>
  </si>
  <si>
    <t>Dear Middle Class Citizens,
Please enjoy this #spoileralert and keep calm and carry on with your head in the sand because the SEC is DEFINITELY NOT approving #bitcoin a.k.a. #WorldEconomicForum #depopulation toll/tool dujour.
https://t.co/o1Tyi0gCJy</t>
  </si>
  <si>
    <t>@KeneAkers It's terrifying, infuriating, and absolutely senseless. As the death toll rises, my heart breaks for all those innocents who have died. I will never understand what these individuals gain. https://t.co/T6QoUcLzba</t>
  </si>
  <si>
    <t>US rejects ceasefire call as Gaza death toll jumps
#JoeBidenIsAWarCriminal 
The United States Is An Apartheid State 
https://t.co/ReGnMChp19</t>
  </si>
  <si>
    <t>@MillieMinet @MadeInTheUSANJ @TeamDeSantis @RonDeSantis Like $21 Billion surplus, he engaged in recovery efforts after Hurricane Ian and Hurricane Nicole.
Cut sales tax for children items. Cut toll fees to half. 
Unemployment at 2.6%. One of the lowest in the nation. Is this a good start for you?</t>
  </si>
  <si>
    <t>I can’t believe how uneducated people are on the monstrosities Israel has done to Palestine as well as the contributions they’ve done to evil. Is he going to google the death toll of Palestinians or the amount of bombs dropped on Gaza?</t>
  </si>
  <si>
    <t>@lecheconcoffee @SmithTootie @oregoncitizen_ Her comment was regarding the tolls and how any money made after expenses will be diverted.
I'm guessing the story on the grant made her think about how the toll money would be abused.
Reasonable people could focus on one of the other.</t>
  </si>
  <si>
    <t>@lecheconcoffee @SmithTootie @oregoncitizen_ Bridge toll money will be diverted to subsidizing EV's in Oregon for upper income people</t>
  </si>
  <si>
    <t>The toll booth scene in the godfather but they’re just breaking tons of spaghetti at Sonny</t>
  </si>
  <si>
    <t>Israel says 24 troops killed in Gaza fighting, country's highest single-day toll during war https://t.co/cTnkm17QDk via @nypost</t>
  </si>
  <si>
    <t>PacificCorp hit with another multimillion dollar wildfire judgment: Oregon wildfire toll continues to rise for the utility owned by Warren Buffett's Berkshire Hathaway. https://t.co/QDyWtxl4yT</t>
  </si>
  <si>
    <t>@Thavyxay @JamesCrepea Might be time for prime to lessen the hype. It does take a toll on his team like you said.</t>
  </si>
  <si>
    <t>@galena_white @DisabledDoctor It’s exhausting &amp;amp; demoralizing to constantly have to fight for &amp;amp; justify your basic needs to strangers everywhere you go while also in pain &amp;amp; trying to do whatever you’re out doing. Its not only exhausting in the moment but takes a cumulative toll. Like a repetitive stress injury</t>
  </si>
  <si>
    <t>@Jazzie654 Drivers need to have the toll ready to pay when passing through instead of holding up traffic!
_xD83D__xDE9A_ _xD83D__xDC18_ _xD83D__xDE05_</t>
  </si>
  <si>
    <t>China will contain ‘demon’ outbreak, Xi says as death toll mounts
— January 28, 2020: South China Morning Post https://t.co/62fXJLxhOj</t>
  </si>
  <si>
    <t>@cardiwithpearls @CarissasNewLife I am 44. I get mistaken for younger, but the fact is that facial expressions and gravity eventually take their toll on us all. Hell, I recently realized the lines in one part of my face are from always sleeping on my right side.</t>
  </si>
  <si>
    <t>All of the EU’s  efforts to create competition in the digital markets will be for  nothing. And Apple gets to send a clear signal: If you interrupt our  toll-booth operation, we’ll make you regret it, and we’ll make you pay.  Don’t resist, just let it be.</t>
  </si>
  <si>
    <t>_xD83D__xDEA8_ BREAKING NEWS _xD83D__xDEA8_
DEATH TOLL RISES TO 14 DEAD AMERICANS..SINCE WE LOST AMERICANS WE HAVE THE RIGHT TO TAKE THEM OUT AS WELL</t>
  </si>
  <si>
    <t>@Suhlabs @toll_mathew @SlavomiraVac2 @lens_tales Mine is number 1, I vote for number 2.</t>
  </si>
  <si>
    <t>Who do you go to when your job starts taking a toll? One of my NW Chapters is taking a proactive step.
https://t.co/UclvboeOkI
#MentalHealthSupport https://t.co/4dG2zLRaQs</t>
  </si>
  <si>
    <t>Really not sure how this is a game changer for Oregonians. People from Washington use the bridge much more. Oregonians are subsidizing driving for people from Washington. Toll the bridge.</t>
  </si>
  <si>
    <t>Love my job but being surrounded by people constantly telling you how much pain they’re in definetly takes a toll on you.</t>
  </si>
  <si>
    <t>67 is the latest death toll on Lahaina Maui 
Please continue to post,pray,and donate... Besides the local's devastation and loss .. homes, businesses,...LIFE! 
THERE'S SO much beautiful landscape,and history lost .. just in this one area...
#Maui
#Lahaina
#Hawaiifire</t>
  </si>
  <si>
    <t>@redbuckman My framing wrt to US LNG exports entirely excludes growth of wind and solar here in the US. Just not related, imo, at all. Rather, this is about the prospect that wind and solar growth would be curtailed in ROW as Hey Hey! Cheap NG for all takes its toll.</t>
  </si>
  <si>
    <t>@oregoncitizen_ I plan on driving whatever twisted backroad route I can find without a toll. 80% of Portlanders will do the same. Watch potholes, accidents and pedestrian casualties skyrocket.</t>
  </si>
  <si>
    <t>@SamHouston92 @seattletimes https://t.co/E9ifIizAql death toll rising! Governor Newsome banned gas cars! Newsome EV policy is a killer!!</t>
  </si>
  <si>
    <t>Tell @OregonDOT to shove that toll where the sun don't shine</t>
  </si>
  <si>
    <t>@Lupus_Chat A5 The perennial struggle of too many ideas/projects and not enough energy. The psychological toll of isolation and debilitation. If I can at least maintain a baseline vs experiencing new symptoms and treatments, that will help (fingers crossed!) #LupusChat</t>
  </si>
  <si>
    <t>"This crisis is taking a toll on law enforcement, ambulance and healthcare professionals...The situation is untenable." https://t.co/yj4j2Qal4f via @oregonlive</t>
  </si>
  <si>
    <t>HUGE. It’s a game changer for Oregonians. After intense bipartisan teamwork, we’ve secured $600M in @USDOT funding for the critically important I-5 bridge replacement project. https://t.co/NfjsHvujQI</t>
  </si>
  <si>
    <t>Thank God ion gotta work this weekend, this year has been taking a toll on ya boy, working hella Saturdays &amp;amp; some Sundays. _xD83D__xDE2D__xD83D__xDE2D__xD83D__xDE2D__xD83D__xDE2D_</t>
  </si>
  <si>
    <t>@MarkCeleste2727 @QuiGonJenna Asteroids wouldn’t have such gravity. 
Han &amp;amp; Leia &amp;amp; Chewie have masks on over their mouths &amp;amp; nose, but no other protective gear. And Leia in TLJ was only out in space a couple minutes, and it clearly took a toll given her being placed in a medical pod afterwards.</t>
  </si>
  <si>
    <t>“The Gaza death toll tonight is now at 6,500. In 18 days.
• Is that your ‘team’ Joe Biden
• Is that your ‘win’ Rishi Sunak
• Is that Israel’s ‘right’ Keir Starmer
War mongers” - Howard Beckett!</t>
  </si>
  <si>
    <t>@SteakFrankhouse If X was around back then, the death toll would’ve doubled.</t>
  </si>
  <si>
    <t>@greg16676935420 It's like I want to...but I know what it's like to not be able to afford it...so on behalf of those individuals, unless you're streaming me a service I'm not down for the monthly payment I'm also not for toll's or anything that unevens the playing field _xD83C__xDFD1_</t>
  </si>
  <si>
    <t>@weedlings73 I think the loss of loved ones would eventually take its toll.</t>
  </si>
  <si>
    <t>@RonnyJacksonTX I’m sorry, you must be talking about TRump! He’s losing his mind! What’s left of it! His adderrall addiction has taken its toll!!! Joe is the best!</t>
  </si>
  <si>
    <t>Whose numbers are we to believe? Somehow someone’s figures and findings are way off! -
“In mid February 2010, the Haitian government reported the death toll to have reached 230,000 (from the earthquake). However, an investigation by Radio Netherlands has questioned the official…</t>
  </si>
  <si>
    <t>@yashar The Biden administration is complicit in the ethnic cleansing of Palestinians and almost all of congress does not support a ceasefire. The death toll and murder of Palestinians will continue to rise and our tax dollars are paying for it.</t>
  </si>
  <si>
    <t>While it's extremely rare, we can and DO get tornadoes here in the #PNW. Today marks 51 years since the deadliest and most powerful #tornado to hit #Portland Metro in recorded history. Many fewer residents back then, imagine the damage and death toll if it happened today?! _xD83C__xDF2A_️</t>
  </si>
  <si>
    <t>@mehdirhasan I condemn both of them, but blame Hamas for both. If Hamas didn’t hide military locations in civilian areas, then the civilian death toll wouldn’t be so high. Are you suggesting Hamas should escape justice because they hide behind civilians?</t>
  </si>
  <si>
    <t>Blizzard telling people they can no longer work from home and forcing them to move to California, to one of the most expensive areas in the US, just to lay them off is really the epitome of corporate evil</t>
  </si>
  <si>
    <t>Live updates: Death toll in Maui wildfires, now 93, expected to rise as search continues https://t.co/YfYAyNSKSn</t>
  </si>
  <si>
    <t>Israel-Gaza war live updates: Gaza death toll passes 10,000, health officials say; Blinken says more aid coming soon https://t.co/SMLEIvEXeF</t>
  </si>
  <si>
    <t>@Naomi_D_Harvey I'm having nostalgia now for one of my past lives where I was tasked with modifying toll-like receptors and bombarding them with pathogenic materials to see if we could turn off various autoimmune processes. _xD83D__xDE05_ This IS huge news! _xD83E__xDD70_</t>
  </si>
  <si>
    <t>@CollinRugg @RNCResearch Come on Mr. Biden.  
You are clearly not well sir, suggesting that any fallen soldier would be disrespected by any former President, especially Mr. Trump.
The stress and strain of your presidential responsibilities, seems to be taking its toll on your health and well being.</t>
  </si>
  <si>
    <t>Palestinian death toll in Gaza surpasses 25,000 while the prolonged war divides Israelis https://t.co/ckIjdMvvAV</t>
  </si>
  <si>
    <t>@NotHoodlum Hate can really take a toll upon the body and even infect your hair.
This is quite evident by the photo Maria posted, just how badly HATE  will really fugly you out. .</t>
  </si>
  <si>
    <t>Fans are concerned after seeing these photos. 
https://t.co/lq4vYn00Y3</t>
  </si>
  <si>
    <t>The insidious, demonic deep state persecution of Ivanka, and the whole Trump family takes its toll.</t>
  </si>
  <si>
    <t>@mojocuba @AlexBerenson @moderna_tx Except covid-19 killed huge numbers of people. 
The safe and effective vaccine and early treatments have reduced the death toll tremendously.</t>
  </si>
  <si>
    <t>@stkirsch @robin_shattock Covid-19 is a bad disease, spreads easily, and inflicts a particularly heavy toll on the unvaccinated. 
Who would have guessed.</t>
  </si>
  <si>
    <t>@kevinnbass Hospitals have this crazy desire to protect patients against communicable respiratory diseases carried by visitors, and protect visitors and staff against diseases patients have.
Remember the toll the virus took on health care workers before the vaccine became available?</t>
  </si>
  <si>
    <t>_xD83C__xDDEE__xD83C__xDDF1_ _xD83C__xDDF5__xD83C__xDDF8_ This is one of the most heinous massacres that the Israelis carried out against the Palestinians 36 years ago, and the media did not talk about it because there were no media outlets at that time in Palestine. Follow the video.
Share the truth https://t.co/Dk394PchJ7</t>
  </si>
  <si>
    <t>3500-5000 Palestinians killed by Israeli soldiers in 1982. Which is already horrific, but the death toll of Israel's current genocidal campaign is at least FIVE TIMES that many. #CeasefireNOW</t>
  </si>
  <si>
    <t>@CSmoove_Sports @blakjordanbreen @BabyEsko3900 @MeechieJacobs @Trevor00988477 On the sure will of effort, staying in front &amp;amp; contesting, not bouncing easily off kawhi etc, yes to a degree, I agree. However, as he started to miss shots in a row his Def took a toll &amp;amp; hurt the team at times, dwn the stretch in clutch momentum moments. Moreover, when his offen</t>
  </si>
  <si>
    <t>Nazis confused by turnstiles is comedy gold. Has anyone scored this yet? https://t.co/sg6clukoQq</t>
  </si>
  <si>
    <t>This is the same thing as in blazing saddles , when they put a toll booth in the middle of the desert. https://t.co/WblVWvGLka</t>
  </si>
  <si>
    <t>Today is the 51st anniversary of the 1972 Vancouver Tornado, the deadliest to hit the U.S. west of the Rockies. It was rated an F-3 tornado, killing 6 people &amp;amp; injuring 300. The tornado first touched down in Portland, crossed the Columbia River &amp;amp; moved through Vancouver, WA. https://t.co/x7SOGVPO5C</t>
  </si>
  <si>
    <t>The #SupremeCourt is corrupt and a toll for big corporations and the .01%</t>
  </si>
  <si>
    <t>@meggie_meg26 Yes. There were toll free hotlines you could call.
If the power was out and you needed to rest your digital clocks.</t>
  </si>
  <si>
    <t>@bessbousaa “twenty eight soldiers got blown up trying to add to the already 25 thousand Palestinian death toll” like how much more fucking disgusting can you get</t>
  </si>
  <si>
    <t>Citizens have made it clear that they do not want tolling, and that's why I support IP -4, the initiative that requires a citizens' vote before ODOT can put a toll in place. 
 https://t.co/fvgp0ydOVu https://t.co/ROn6aknS5U</t>
  </si>
  <si>
    <t>okay things are starting to take a toll on me</t>
  </si>
  <si>
    <t>WOW. #ClimateCrisis
Hidden Toll of the Northwest Heat Wave: Hundreds of Extra Deaths https://t.co/GhmbEXsfId</t>
  </si>
  <si>
    <t>Knock! Knock! ✊_xD83C__xDFFE_who is there? Me…Me who? I am the Realtor who is going to get you a premium price for your home. Call me at my toll free number to get your free buyer or seller consultation. _xD83D__xDCF2_ 360-473- 9938 
#multnomahcounty #KingCountyWA #washingtoncountyoregon https://t.co/uRSnXd0Uxu</t>
  </si>
  <si>
    <t>This strike has everyone in a collective shitty ass mood., for over 20 days now!!! Wrap this shit up, it’s taking a mental toll _xD83E__xDD72_</t>
  </si>
  <si>
    <t>@LakotaMan1 Keep up the good work,  I start 2nd shift tomorrow, I worked days but getting up at 4am takes its toll</t>
  </si>
  <si>
    <t>The tax program where the majority of the money collected pays for the administration of the collecting. This toll program has to be stopped.</t>
  </si>
  <si>
    <t>Wow. A whistleblower alleges that Jane Roberts—wife of Chief Justice John Roberts—was paid more than $10 million in recruiting fees from top law firms that had business in front of the Court. 
Below is one page of the report showing her earnings. More: https://t.co/ccEDxinEQL https://t.co/RpEkR94DNy</t>
  </si>
  <si>
    <t>@SamPack00679914 @20MinPromo @deonteddj Last but not least, the current gaza death toll which, according to the health ministry IN GAZA is around 30k.  Approximately 1.5% of what you claimed.  By the way, this took 30 seconds.
https://t.co/mjvB4KYMlD</t>
  </si>
  <si>
    <t>Yes, but not anymore. I just had to move because of mold. The toll it took on my body and mind was and still is hell. It’s horrible here in the PNW. This isn’t the first time I’ve had to flee my home because of mold and other environmental toxins. 
#MCAS #chronicillness</t>
  </si>
  <si>
    <t>@kiryussideburns Kiryu is an all-loving hero. Much of what he does he does out of love. And he especially loves Haruka and the orphans he helped raise. 
Being deprived of the closest thing he has to a family would damn sure take its toll on him. So yeah, he has every right to just let it all out.</t>
  </si>
  <si>
    <t>Last night’s misadventure is now taking its toll on me… my legs are hurting bad and I got under two more hours of work. 
I don’t know if I can make it.</t>
  </si>
  <si>
    <t>Huh, my partner who doesn’t drive, who’s car we sold in 2021 some how got a toll 3 days in a row in Texas at the start of December 2022. Even though we’ve been gone since the end of 2021 _xD83D__xDE02__xD83D__xDE02_</t>
  </si>
  <si>
    <t>Years of Covid lockdowns have taken a brutal toll on the country’s businesses. Now, the uncontrolled spread of the coronavirus after the country’s chaotic reopening has deprived them of workers and customers, writes our Beijing bureau chief. 
China really f ed up with Covid!</t>
  </si>
  <si>
    <t>The United Nations said today that it had confirmed the deaths of more than 7,000 Ukrainian civilians in the 11 months since Russia invaded, but the organization said the real toll was far higher.</t>
  </si>
  <si>
    <t>The death toll in a Ukrainian apartment strike up to 40. 
F ing genocidal criminals!</t>
  </si>
  <si>
    <t>As the death toll in Turkey and Syria passed 28,000, Ankara was coming under growing criticism for its slow response and tolerance of shoddy construction.</t>
  </si>
  <si>
    <t>President Biden issued a major disaster declaration for Maui as evacuation centers filled and tourists fled from the island in the wake of a fast-moving wildfire. The death toll climbed to 36, and hundreds of buildings were damaged in  tourist town of Lahaina and western coast.</t>
  </si>
  <si>
    <t>Rescuers are racing against time as the earthquake’s death toll rises to 7,700 in Turkey and Syria.
Thousands of rescue workers spent all day today digging through debris after yesterday’s 7.8-magnitude quake. Turkish officials said that more than 8,000 people had been rescued.</t>
  </si>
  <si>
    <t>The death toll in Maui has surpassed 100, Gov. Josh Green of Hawaii said. The victims have not yet been publicly identified.
Tuesday, August 15, 2023 10:44 PM ET
One of the worst natural disasters in Hawaii’s history, and the deadliest wildfire in the U.S. since 1918. _xD83D__xDE25_</t>
  </si>
  <si>
    <t>@NickRoj80278654 @NewWorldAnglo Also, the death toll for the ideology of communism is large, true, but it’s just fascism and dictatorship masquerading as communism. Any political system looks good in theory with one exception, that being Nazism. That’s the inherent problem it has. That and the genocide.</t>
  </si>
  <si>
    <t>@lesnara2 @Maxmad39388773 From her father and band mates has taken a toll on her.</t>
  </si>
  <si>
    <t>@streetfighthard Paid the toll</t>
  </si>
  <si>
    <t>@Marypop987 @WadeTurnbull Be specific cos the death toll is like 38k Gaza, 1,400 Israel</t>
  </si>
  <si>
    <t>@Rayterrill Not sure of my source’s credibility in this, but word is there’s something in the works for tracking mileage and charging based on mileage. Not sure if that’s ala cameras similar to the toll system outside of Seattle, annual reported mileage, or mileage at registration renewal</t>
  </si>
  <si>
    <t>@lukeroth1015 Going to Berkeley isn't the issue (we went through the East Bay in August going to San Jose).  It's leaving the Bay is where they'll get you.  I think the only toll you'll pay is going into San Francisco from the Bay Bridge/Oakland side of the Bay and from Napa over Golden Gate.</t>
  </si>
  <si>
    <t>@lukeroth1015 Make sure you got cash for Tolls dude.  They're everywhere down there.  Especially leaving the East Bay with the Benicia Toll Bridge.</t>
  </si>
  <si>
    <t>.@OregonDOT is running a push poll to create the illusion of support for spending toll money to widen highways. They never ask whether an alternative of tolls only for walk, bike, transit and the safety of people using non-car modes from drivers. #NoMoreFreeways @nomorefreeways</t>
  </si>
  <si>
    <t>@nomorefreeways I wonder how the projections of VMT and toll-paying drivers would hold up under this type of scrutiny if the bonds being issued for the IBRP are related to future tolling revenue. https://t.co/dfQLfo5uud https://t.co/tE7sEJvSjo</t>
  </si>
  <si>
    <t>After answering just one question, #Dolphins QB Tua paused his postgame press conference to discuss the difficult situation in Israel and bring attention to all the terrorist attacks by Hamas. 
"I didn't really realize how bad things were in Israel..."
(via @MiamiDolphins) https://t.co/M13rad8Xzu</t>
  </si>
  <si>
    <t>@Sabo_Cat161 I was mad. Now I’m just worried for the mental toll on well-being Florida is for people https://t.co/cf8MJ9qmWg</t>
  </si>
  <si>
    <t>@NicelyNice4 @SenJeffMerkley @JeffMerkley @OregonSOS He copies and pastes these annoying tweets.
No regard for opposition.
DUII @JeffMerkley way or the highway with toll booths on every offramp.</t>
  </si>
  <si>
    <t>@RepBonamici Is the largely unknown outside of OR3 representative Earl @repblumenauer about to add a toll to his bridge to fund his lavish millionaire lifestyle in his retirement? https://t.co/aT1uEJwAVg</t>
  </si>
  <si>
    <t>@janninereid1 @seanhannity needs to chase the grey away.
Sheesh... playing second fiddle to @TuckerCarlson has taken a toll. https://t.co/3nhjxOXB3t</t>
  </si>
  <si>
    <t>@MGPforCongress Will the old Vancouver toll bridge tokens from the 60s still be valid and, if not, why? https://t.co/LCE67HgscJ</t>
  </si>
  <si>
    <t>Hi disabled and/or chronically ill friends,
Do you or anyone you know struggle with mold inside their home?</t>
  </si>
  <si>
    <t>@PDXReal1 They don’t want to fix the issue.  If they wanted to fix it they’d work together to build the bridge.  But nope, they want a TOLL it!</t>
  </si>
  <si>
    <t>TikTok reportedly taken on a creek that runs from East Palestine, Ohio. Notice that it’s full of dead fish. This combined with reports of chicken and livestock die off and reporters being arrested in the area is painting a startlingly more dire picture than is being reported. https://t.co/Z2a8QR2AxK</t>
  </si>
  <si>
    <t>This is getting no media coverage. Possibly the worst chemical disaster in our history. The death toll has yet to be seen, but is certainly inevitable.</t>
  </si>
  <si>
    <t>@A_tothe_Z_Amber I understand that. I think we all are. 7 years fighting the orange clown and all his minions takes a toll. 
He’s normalized cruelty, inhumanity, lying and bullying. We’re all so tired of it, yet we have to keep pushing the truth out there or else democracy will cease to exist.</t>
  </si>
  <si>
    <t>@Ac7ionMann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</si>
  <si>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Alcohol's high toll and Oregon's relatively modest beer and wine taxes are a perennial issue in the state, but a couple of developments of ratcheted up the debate. https://t.co/3ZQ4cqrRTM</t>
  </si>
  <si>
    <t>Alcohol's high toll and Oregon's relatively modest beer and wine taxes are a perennial issue in the state, but a couple of developments of ratcheted up the debate. https://t.co/LvuujjKT1c</t>
  </si>
  <si>
    <t>Alcohol's high toll and Oregon's relatively modest beer and wine taxes are a perennial issue in the state, but a couple of developments of ratcheted up the debate. https://t.co/9MgVc6Qtjy</t>
  </si>
  <si>
    <t>Palestinian death toll in Gaza surpasses 25,000 while Israel announces death of another hostage https://t.co/KclJTpu0Ry</t>
  </si>
  <si>
    <t>Oregon State Highway tolls are in the works, and we believe citizens should have a say in a statewide vote. We need your help collecting signatures to have that right. Visit https://t.co/NSanWeh3Nf and gather signatures including your own. https://t.co/khSd6iCQEV</t>
  </si>
  <si>
    <t>@itsbedtime_ "NYT resorts to use of second derivative to avoid reporting Gazan death toll"</t>
  </si>
  <si>
    <t>Considering the death toll in that time, she's a cheap date.</t>
  </si>
  <si>
    <t>@hunnybadgermom Andy’s trial took a toll on ALL of us in the courtroom _xD83D__xDE1E_  Always praying for change in Portland and Justice against all odds. Disappointed again. Love you _xD83D__xDE4F__xD83C__xDFFC_❤️</t>
  </si>
  <si>
    <t>@msolurin 19 deaths last year plus 27 or whatever the number is this year really calls for a release to the public of Rikers death toll. This is a crisis that sounds like the attorney general should be investigating. Where's DOJ in all this?</t>
  </si>
  <si>
    <t>_xD83D__xDC94_
Toll from quakes passes 21,000; Turkey builds makeshift cemetery https://t.co/9qXXVUCRmm</t>
  </si>
  <si>
    <t>Way to go Seattle for charging a toll on a bridge I was on a MONTH ago. This is why we don’t like you.</t>
  </si>
  <si>
    <t>Palestinian death toll soars past 25,000 in Gaza with no end in sight to Israel-Hamas war
 https://t.co/aLmI1Yd9qz</t>
  </si>
  <si>
    <t>MAINE MASS SHOOTINGS: At least 16 people are dead.
Some perspective on what kind of impact this is having on this community: 
There were 29 murders in the entire state of Maine last year. 
FBI data shows Maine had the nation’s lowest rate of violent crime in 2022. @fox12oregon</t>
  </si>
  <si>
    <t>UPDATE: Death toll climbs to 18. 
Law enforcement still searching for suspect, 40 year old Robert Card.</t>
  </si>
  <si>
    <t>@oregoncitizen_ Why did Wagner appoint her to the committee? If she loves tolling so much, perhaps they should toll the tunnel instead of 205, which has no public transportation. #orpol #orleg</t>
  </si>
  <si>
    <t>@CobraEconomics @tinselfire @dwallacewells I know!  The Trumpism being imported from Russia by the wealthy GQP is really taking a toll on uneducated Americans like @CobraEconomics</t>
  </si>
  <si>
    <t>From a new think tank to a needed toll administrator, here are the latest moves and wannabes. "Oregon insiders: Who's who in and around state government" #ORleg #ORpol  https://t.co/W2X6n4sjbN via @ORCapitalBureau</t>
  </si>
  <si>
    <t>baonpdx</t>
  </si>
  <si>
    <t>realtor realtorlife realestate realestateagent exprealty mrexp grinding</t>
  </si>
  <si>
    <t>spoileralert bitcoin worldeconomicforum depopulation</t>
  </si>
  <si>
    <t>joebidenisawarcriminal</t>
  </si>
  <si>
    <t>mentalhealthsupport</t>
  </si>
  <si>
    <t>maui lahaina hawaiifire</t>
  </si>
  <si>
    <t>lupuschat</t>
  </si>
  <si>
    <t>pnw tornado portland</t>
  </si>
  <si>
    <t>ceasefirenow</t>
  </si>
  <si>
    <t>supremecourt</t>
  </si>
  <si>
    <t>climatecrisis</t>
  </si>
  <si>
    <t>multnomahcounty kingcountywa washingtoncountyoregon</t>
  </si>
  <si>
    <t>mcas chronicillness</t>
  </si>
  <si>
    <t>dolphins</t>
  </si>
  <si>
    <t>orpol orleg</t>
  </si>
  <si>
    <t>orleg orpol</t>
  </si>
  <si>
    <t>apnews.com</t>
  </si>
  <si>
    <t>youtube.com</t>
  </si>
  <si>
    <t>cnbc.com</t>
  </si>
  <si>
    <t>thestreet.com</t>
  </si>
  <si>
    <t>aljazeera.com</t>
  </si>
  <si>
    <t>nypost.com</t>
  </si>
  <si>
    <t>dlvr.it</t>
  </si>
  <si>
    <t>gcsaa.org</t>
  </si>
  <si>
    <t>nytimes.com</t>
  </si>
  <si>
    <t>spr.ly</t>
  </si>
  <si>
    <t>kgw.com</t>
  </si>
  <si>
    <t>wapo.st</t>
  </si>
  <si>
    <t>washingtonpost.com</t>
  </si>
  <si>
    <t>buff.ly</t>
  </si>
  <si>
    <t>bit.ly</t>
  </si>
  <si>
    <t>businessinsider.com</t>
  </si>
  <si>
    <t>voanews.com</t>
  </si>
  <si>
    <t>sec.gov</t>
  </si>
  <si>
    <t>bizjournals.com</t>
  </si>
  <si>
    <t>oregonlive.com</t>
  </si>
  <si>
    <t>votebeforetolls.org</t>
  </si>
  <si>
    <t>kptv.com</t>
  </si>
  <si>
    <t>oregoncapitalinsider.com</t>
  </si>
  <si>
    <t>decayingla chase_the_high</t>
  </si>
  <si>
    <t>kennedyk24 okron8 aa_ronneous captcoronado bestwildclips</t>
  </si>
  <si>
    <t>barry317446 diedsuddenly_</t>
  </si>
  <si>
    <t>jakeguyco tek_sauce mrs_socialista</t>
  </si>
  <si>
    <t>intm_student endofracism</t>
  </si>
  <si>
    <t>millieminet madeintheusanj teamdesantis rondesantis</t>
  </si>
  <si>
    <t>lecheconcoffee smithtootie oregoncitizen_</t>
  </si>
  <si>
    <t>thavyxay jamescrepea</t>
  </si>
  <si>
    <t>galena_white disableddoctor</t>
  </si>
  <si>
    <t>cardiwithpearls carissasnewlife</t>
  </si>
  <si>
    <t>suhlabs toll_mathew slavomiravac2</t>
  </si>
  <si>
    <t>seattletimes</t>
  </si>
  <si>
    <t>markceleste2727 quigonjenna</t>
  </si>
  <si>
    <t>collinrugg rncresearch</t>
  </si>
  <si>
    <t>mojocuba alexberenson moderna_tx</t>
  </si>
  <si>
    <t>stkirsch robin_shattock</t>
  </si>
  <si>
    <t>csmoove_sports blakjordanbreen babyesko3900 meechiejacobs trevor00988477</t>
  </si>
  <si>
    <t>sampack00679914 20minpromo deonteddj</t>
  </si>
  <si>
    <t>nickroj80278654 newworldanglo</t>
  </si>
  <si>
    <t>lesnara2 maxmad39388773</t>
  </si>
  <si>
    <t>marypop987 wadeturnbull</t>
  </si>
  <si>
    <t>oregondot nomorefreeways</t>
  </si>
  <si>
    <t>nicelynice4 senjeffmerkley jeffmerkley oregonsos jeffmerkley</t>
  </si>
  <si>
    <t>repbonamici repblumenauer</t>
  </si>
  <si>
    <t>janninereid1 seanhannity tuckercarlson</t>
  </si>
  <si>
    <t>cobraeconomics tinselfire dwallacewells cobraeconomics</t>
  </si>
  <si>
    <t>https://t.co/ml66bgk1Rv https://t.co/ml66bgk1Rv https://pbs.twimg.com/media/Ft3sTYhaAAA0pI6.jpg https://pbs.twimg.com/media/Ft3sTZoaUAE_R6I.jpg</t>
  </si>
  <si>
    <t>https://t.co/StZl8Mf9Wn https://pbs.twimg.com/tweet_video_thumb/FxEzCaTaMAAGsFb.jpg</t>
  </si>
  <si>
    <t>https://t.co/QgciUgeU3P https://pbs.twimg.com/media/F3UQO9ub0AAoaRB.jpg</t>
  </si>
  <si>
    <t>https://t.co/VMWJZfPUWv https://pbs.twimg.com/media/GAZ0V8WbgAAvdxE.jpg</t>
  </si>
  <si>
    <t>https://t.co/T6QoUcLzba https://pbs.twimg.com/media/F8xNgmCbIAAEi7B.jpg</t>
  </si>
  <si>
    <t>https://t.co/62fXJLxhOj https://pbs.twimg.com/media/GE9MrrLbIAAQCQ6.jpg</t>
  </si>
  <si>
    <t>https://t.co/4dG2zLRaQs https://pbs.twimg.com/media/F_fiekabYAAQv9j.jpg</t>
  </si>
  <si>
    <t>https://t.co/Dk394PchJ7 https://pbs.twimg.com/ext_tw_video_thumb/1748620090319286272/pu/img/Rpb0AiiDyI3YhsKr.jpg</t>
  </si>
  <si>
    <t>https://t.co/sg6clukoQq https://pbs.twimg.com/ext_tw_video_thumb/1749102754260279297/pu/img/ZiNjgduFQezy14-7.jpg</t>
  </si>
  <si>
    <t>https://t.co/WblVWvGLka https://pbs.twimg.com/tweet_video_thumb/GEeAqJRa4AITn77.jpg</t>
  </si>
  <si>
    <t>https://t.co/x7SOGVPO5C https://pbs.twimg.com/ext_tw_video_thumb/1643618784517783552/pu/img/qqNNm1pSdXRmZGpt.jpg</t>
  </si>
  <si>
    <t>https://t.co/ROn6aknS5U https://pbs.twimg.com/media/GEFInvDXgAAmbsy.jpg</t>
  </si>
  <si>
    <t>https://t.co/uRSnXd0Uxu https://pbs.twimg.com/ext_tw_video_thumb/1639364432638902272/pu/img/S2xX0OaanAnsmflF.jpg</t>
  </si>
  <si>
    <t>https://t.co/RpEkR94DNy https://pbs.twimg.com/media/Fu0rTeAWwBAl-Fd.jpg</t>
  </si>
  <si>
    <t>https://t.co/tE7sEJvSjo https://pbs.twimg.com/media/Ftt6EnlaYAEMUzq.jpg</t>
  </si>
  <si>
    <t>https://t.co/M13rad8Xzu https://pbs.twimg.com/ext_tw_video_thumb/1713681394151415808/pu/img/AEt4hHIwlUhA_DMV.jpg</t>
  </si>
  <si>
    <t>https://t.co/cf8MJ9qmWg https://pbs.twimg.com/media/FxA0co1aIAEqzZr.jpg</t>
  </si>
  <si>
    <t>https://t.co/aT1uEJwAVg https://pbs.twimg.com/media/F-45IQdagAAFhSA.jpg</t>
  </si>
  <si>
    <t>https://t.co/3nhjxOXB3t https://t.co/3nhjxOXB3t https://pbs.twimg.com/tweet_video_thumb/Fq6GvJhakAAm4r2.jpg https://pbs.twimg.com/tweet_video_thumb/Fq6Gvl6aMAAM85S.jpg</t>
  </si>
  <si>
    <t>https://t.co/LCE67HgscJ https://t.co/LCE67HgscJ https://pbs.twimg.com/media/GBg1_yVboAAcHVZ.jpg https://pbs.twimg.com/media/GBg1_8ca0AAsUB6.jpg</t>
  </si>
  <si>
    <t>https://t.co/Z2a8QR2AxK https://pbs.twimg.com/ext_tw_video_thumb/1624170319727452188/pu/img/V749mrNUxlckNkI8.jpg</t>
  </si>
  <si>
    <t>https://t.co/khSd6iCQEV https://pbs.twimg.com/amplify_video_thumb/1742285828414693376/img/_WJzrczufsSAQNHz.jpg</t>
  </si>
  <si>
    <t>photo photo</t>
  </si>
  <si>
    <t>animated_gif</t>
  </si>
  <si>
    <t>photo</t>
  </si>
  <si>
    <t>video</t>
  </si>
  <si>
    <t>animated_gif animated_gif</t>
  </si>
  <si>
    <t>Twitter for iPhone</t>
  </si>
  <si>
    <t>Twitter Web App</t>
  </si>
  <si>
    <t>Buffer</t>
  </si>
  <si>
    <t>Twitter for Android</t>
  </si>
  <si>
    <t>Twitter for iPad</t>
  </si>
  <si>
    <t>Sprinklr</t>
  </si>
  <si>
    <t>Social News Desk (S)</t>
  </si>
  <si>
    <t>Sendible</t>
  </si>
  <si>
    <t>TweetDeck Web App</t>
  </si>
  <si>
    <t>trueanthem_pro2</t>
  </si>
  <si>
    <t>SocialNewsDesk</t>
  </si>
  <si>
    <t>Social News Desk (H)</t>
  </si>
  <si>
    <t>en</t>
  </si>
  <si>
    <t>22:45:02</t>
  </si>
  <si>
    <t>19:22:33</t>
  </si>
  <si>
    <t>18:42:29</t>
  </si>
  <si>
    <t>20:39:15</t>
  </si>
  <si>
    <t>15:40:11</t>
  </si>
  <si>
    <t>04:09:05</t>
  </si>
  <si>
    <t>15:37:22</t>
  </si>
  <si>
    <t>16:07:49</t>
  </si>
  <si>
    <t>23:35:12</t>
  </si>
  <si>
    <t>18:36:37</t>
  </si>
  <si>
    <t>18:40:47</t>
  </si>
  <si>
    <t>17:23:32</t>
  </si>
  <si>
    <t>08:12:39</t>
  </si>
  <si>
    <t>18:24:34</t>
  </si>
  <si>
    <t>03:42:14</t>
  </si>
  <si>
    <t>02:12:24</t>
  </si>
  <si>
    <t>22:05:10</t>
  </si>
  <si>
    <t>22:34:02</t>
  </si>
  <si>
    <t>10:31:09</t>
  </si>
  <si>
    <t>05:46:43</t>
  </si>
  <si>
    <t>06:29:47</t>
  </si>
  <si>
    <t>01:46:17</t>
  </si>
  <si>
    <t>02:28:13</t>
  </si>
  <si>
    <t>18:06:37</t>
  </si>
  <si>
    <t>18:34:15</t>
  </si>
  <si>
    <t>04:16:45</t>
  </si>
  <si>
    <t>19:55:44</t>
  </si>
  <si>
    <t>19:47:43</t>
  </si>
  <si>
    <t>19:25:42</t>
  </si>
  <si>
    <t>17:04:34</t>
  </si>
  <si>
    <t>01:43:03</t>
  </si>
  <si>
    <t>23:48:49</t>
  </si>
  <si>
    <t>14:58:27</t>
  </si>
  <si>
    <t>00:21:05</t>
  </si>
  <si>
    <t>20:25:38</t>
  </si>
  <si>
    <t>04:12:42</t>
  </si>
  <si>
    <t>06:52:38</t>
  </si>
  <si>
    <t>18:51:13</t>
  </si>
  <si>
    <t>20:46:58</t>
  </si>
  <si>
    <t>22:53:45</t>
  </si>
  <si>
    <t>00:01:46</t>
  </si>
  <si>
    <t>02:07:40</t>
  </si>
  <si>
    <t>02:45:07</t>
  </si>
  <si>
    <t>23:04:57</t>
  </si>
  <si>
    <t>07:36:02</t>
  </si>
  <si>
    <t>19:15:12</t>
  </si>
  <si>
    <t>06:44:36</t>
  </si>
  <si>
    <t>06:47:19</t>
  </si>
  <si>
    <t>21:14:00</t>
  </si>
  <si>
    <t>23:04:53</t>
  </si>
  <si>
    <t>23:47:34</t>
  </si>
  <si>
    <t>19:01:33</t>
  </si>
  <si>
    <t>02:25:46</t>
  </si>
  <si>
    <t>15:02:59</t>
  </si>
  <si>
    <t>23:04:42</t>
  </si>
  <si>
    <t>15:44:34</t>
  </si>
  <si>
    <t>03:31:42</t>
  </si>
  <si>
    <t>21:23:54</t>
  </si>
  <si>
    <t>07:25:36</t>
  </si>
  <si>
    <t>18:00:42</t>
  </si>
  <si>
    <t>17:20:48</t>
  </si>
  <si>
    <t>05:35:36</t>
  </si>
  <si>
    <t>14:44:33</t>
  </si>
  <si>
    <t>14:44:20</t>
  </si>
  <si>
    <t>21:32:10</t>
  </si>
  <si>
    <t>22:00:45</t>
  </si>
  <si>
    <t>16:43:02</t>
  </si>
  <si>
    <t>06:28:06</t>
  </si>
  <si>
    <t>19:20:01</t>
  </si>
  <si>
    <t>19:38:49</t>
  </si>
  <si>
    <t>15:10:52</t>
  </si>
  <si>
    <t>01:22:16</t>
  </si>
  <si>
    <t>17:10:06</t>
  </si>
  <si>
    <t>08:15:15</t>
  </si>
  <si>
    <t>20:43:04</t>
  </si>
  <si>
    <t>01:07:04</t>
  </si>
  <si>
    <t>15:41:00</t>
  </si>
  <si>
    <t>19:04:52</t>
  </si>
  <si>
    <t>14:18:24</t>
  </si>
  <si>
    <t>19:48:55</t>
  </si>
  <si>
    <t>14:39:16</t>
  </si>
  <si>
    <t>18:45:54</t>
  </si>
  <si>
    <t>23:09:08</t>
  </si>
  <si>
    <t>11:03:17</t>
  </si>
  <si>
    <t>19:07:02</t>
  </si>
  <si>
    <t>20:32:01</t>
  </si>
  <si>
    <t>23:40:09</t>
  </si>
  <si>
    <t>20:47:51</t>
  </si>
  <si>
    <t>17:26:40</t>
  </si>
  <si>
    <t>18:57:35</t>
  </si>
  <si>
    <t>19:43:55</t>
  </si>
  <si>
    <t>22:15:05</t>
  </si>
  <si>
    <t>15:59:31</t>
  </si>
  <si>
    <t>19:26:21</t>
  </si>
  <si>
    <t>02:28:03</t>
  </si>
  <si>
    <t>23:48:36</t>
  </si>
  <si>
    <t>23:47:43</t>
  </si>
  <si>
    <t>23:41:45</t>
  </si>
  <si>
    <t>00:11:14</t>
  </si>
  <si>
    <t>23:17:28</t>
  </si>
  <si>
    <t>00:01:54</t>
  </si>
  <si>
    <t>02:57:43</t>
  </si>
  <si>
    <t>16:22:16</t>
  </si>
  <si>
    <t>04:21:57</t>
  </si>
  <si>
    <t>03:33:18</t>
  </si>
  <si>
    <t>01:07:15</t>
  </si>
  <si>
    <t>00:44:57</t>
  </si>
  <si>
    <t>18:51:56</t>
  </si>
  <si>
    <t>18:22:23</t>
  </si>
  <si>
    <t>21:25:29</t>
  </si>
  <si>
    <t>01:08:59</t>
  </si>
  <si>
    <t>23:45:19</t>
  </si>
  <si>
    <t>00:04:17</t>
  </si>
  <si>
    <t>14:47:37</t>
  </si>
  <si>
    <t>10:47:31</t>
  </si>
  <si>
    <t>03:12:44</t>
  </si>
  <si>
    <t>01:30:03</t>
  </si>
  <si>
    <t>19:44:50</t>
  </si>
  <si>
    <t>11:31:58</t>
  </si>
  <si>
    <t>22:16:32</t>
  </si>
  <si>
    <t>23:14:49</t>
  </si>
  <si>
    <t>06:20:44</t>
  </si>
  <si>
    <t>13:34:52</t>
  </si>
  <si>
    <t>20:00:27</t>
  </si>
  <si>
    <t>06:00:29</t>
  </si>
  <si>
    <t>22:30:09</t>
  </si>
  <si>
    <t>04:05:03</t>
  </si>
  <si>
    <t>20:45:09</t>
  </si>
  <si>
    <t>04:36:41</t>
  </si>
  <si>
    <t>14:05:03</t>
  </si>
  <si>
    <t>22:27:23</t>
  </si>
  <si>
    <t>14:21:06</t>
  </si>
  <si>
    <t>01:27:34</t>
  </si>
  <si>
    <t>23:32:52</t>
  </si>
  <si>
    <t>00:00:06</t>
  </si>
  <si>
    <t>13:58:22</t>
  </si>
  <si>
    <t>16:54:04</t>
  </si>
  <si>
    <t>14:59:19</t>
  </si>
  <si>
    <t>17:41:31</t>
  </si>
  <si>
    <t>02:53:44</t>
  </si>
  <si>
    <t>-122.9045126,45.466363 
-122.9045126,45.516305 
-122.839114,45.516305 
-122.839114,45.466363 
-122.9045126,45.466363</t>
  </si>
  <si>
    <t>-122.7900653,45.421863 
-122.7900653,45.6509405 
-122.471751,45.6509405 
-122.471751,45.421863 
-122.7900653,45.421863</t>
  </si>
  <si>
    <t>-122.750195,45.3822163 
-122.750195,45.44028 
-122.642587,45.44028 
-122.642587,45.3822163 
-122.750195,45.3822163</t>
  </si>
  <si>
    <t>-123.122916,44.853813 
-123.122916,45.016355 
-122.935114,45.016355 
-122.935114,44.853813 
-123.122916,44.853813</t>
  </si>
  <si>
    <t>-122.7134422,45.5825007 
-122.7134422,45.6786765 
-122.4645067,45.6786765 
-122.4645067,45.5825007 
-122.7134422,45.5825007</t>
  </si>
  <si>
    <t>-122.635258,45.378335 
-122.635258,45.406294 
-122.597935,45.406294 
-122.597935,45.378335 
-122.635258,45.378335</t>
  </si>
  <si>
    <t>-122.498909,45.460886 
-122.498909,45.5593945 
-122.367482,45.5593945 
-122.367482,45.460886 
-122.498909,45.460886</t>
  </si>
  <si>
    <t>-122.805505,44.9855774 
-122.805505,45.027877 
-122.753657,45.027877 
-122.753657,44.9855774 
-122.805505,44.9855774</t>
  </si>
  <si>
    <t>-122.992994,44.958825 
-122.992994,45.01161 
-122.948448,45.01161 
-122.948448,44.958825 
-122.992994,44.958825</t>
  </si>
  <si>
    <t>-122.6395145,45.309499 
-122.6395145,45.38075 
-122.551968,45.38075 
-122.551968,45.309499 
-122.6395145,45.309499</t>
  </si>
  <si>
    <t>-122.867581,45.426386 
-122.867581,45.543398 
-122.743577,45.543398 
-122.743577,45.426386 
-122.867581,45.426386</t>
  </si>
  <si>
    <t>-122.807286,45.281815 
-122.807286,45.340517 
-122.742838,45.340517 
-122.742838,45.281815 
-122.807286,45.281815</t>
  </si>
  <si>
    <t>-122.857378,45.527087 
-122.857378,45.555039 
-122.824348,45.555039 
-122.824348,45.527087 
-122.857378,45.527087</t>
  </si>
  <si>
    <t>-122.6775759,45.338472 
-122.6775759,45.4001413 
-122.605199,45.4001413 
-122.605199,45.338472 
-122.6775759,45.338472</t>
  </si>
  <si>
    <t>-122.655374,45.424593 
-122.655374,45.4615366 
-122.5887907,45.4615366 
-122.5887907,45.424593 
-122.655374,45.424593</t>
  </si>
  <si>
    <t>-122.581184,45.40302 
-122.581184,45.461537 
-122.4771975,45.461537 
-122.4771975,45.40302 
-122.581184,45.40302</t>
  </si>
  <si>
    <t>-122.818314,45.349158 
-122.818314,45.403778 
-122.721832,45.403778 
-122.721832,45.349158 
-122.818314,45.349158</t>
  </si>
  <si>
    <t>-123.011705,45.488124 
-123.011705,45.573434 
-122.859355,45.573434 
-122.859355,45.488124 
-123.011705,45.488124</t>
  </si>
  <si>
    <t>-122.8401675,45.393108 
-122.8401675,45.456634 
-122.74354,45.456634 
-122.74354,45.393108 
-122.8401675,45.393108</t>
  </si>
  <si>
    <t>-122.869771,45.345593 
-122.869771,45.376774 
-122.805551,45.376774 
-122.805551,45.345593 
-122.869771,45.345593</t>
  </si>
  <si>
    <t>-123.05417,44.9729026 
-123.05417,45.038125 
-122.99073,45.038125 
-122.99073,44.9729026 
-123.05417,44.9729026</t>
  </si>
  <si>
    <t>-122.632833,45.393618 
-122.632833,45.433366 
-122.571286,45.433366 
-122.571286,45.393618 
-122.632833,45.393618</t>
  </si>
  <si>
    <t>United States</t>
  </si>
  <si>
    <t>US</t>
  </si>
  <si>
    <t>Aloha, OR</t>
  </si>
  <si>
    <t>Portland, OR</t>
  </si>
  <si>
    <t>Lake Oswego, OR</t>
  </si>
  <si>
    <t>Salem, OR</t>
  </si>
  <si>
    <t>Vancouver, WA</t>
  </si>
  <si>
    <t>Jennings Lodge, OR</t>
  </si>
  <si>
    <t>Gresham, OR</t>
  </si>
  <si>
    <t>Silverton, OR</t>
  </si>
  <si>
    <t>Hayesville, OR</t>
  </si>
  <si>
    <t>Oregon City, OR</t>
  </si>
  <si>
    <t>Beaverton, OR</t>
  </si>
  <si>
    <t>Wilsonville, OR</t>
  </si>
  <si>
    <t>Oak Hills, OR</t>
  </si>
  <si>
    <t>West Linn, OR</t>
  </si>
  <si>
    <t>Milwaukie, OR</t>
  </si>
  <si>
    <t>Happy Valley, OR</t>
  </si>
  <si>
    <t>Tualatin, OR</t>
  </si>
  <si>
    <t>Hillsboro, OR</t>
  </si>
  <si>
    <t>Tigard, OR</t>
  </si>
  <si>
    <t>Sherwood, OR</t>
  </si>
  <si>
    <t>Keizer, OR</t>
  </si>
  <si>
    <t>Oatfield, OR</t>
  </si>
  <si>
    <t>3ff03b9d1ce7c69f</t>
  </si>
  <si>
    <t>ac88a4f17a51c7fc</t>
  </si>
  <si>
    <t>386b4dc0b52f8b48</t>
  </si>
  <si>
    <t>c8022ca5114d7ea9</t>
  </si>
  <si>
    <t>5a16f6443a850916</t>
  </si>
  <si>
    <t>d83bf5f2f5ccbdef</t>
  </si>
  <si>
    <t>7bf7dcb9504c91c9</t>
  </si>
  <si>
    <t>646585c1270fdb39</t>
  </si>
  <si>
    <t>ef6bc9d58ea0c80b</t>
  </si>
  <si>
    <t>93207bd39d52ef34</t>
  </si>
  <si>
    <t>e0c5378910ca41e0</t>
  </si>
  <si>
    <t>b08b39af5eca8b4c</t>
  </si>
  <si>
    <t>7116080c8926fb6b</t>
  </si>
  <si>
    <t>2ea8f95d7d008ab5</t>
  </si>
  <si>
    <t>0834e7769aa05fce</t>
  </si>
  <si>
    <t>00bda52c7eddb627</t>
  </si>
  <si>
    <t>ee4298ad58771a16</t>
  </si>
  <si>
    <t>01bd241973160cac</t>
  </si>
  <si>
    <t>d1f122645b638aec</t>
  </si>
  <si>
    <t>6870523b6f8d96e6</t>
  </si>
  <si>
    <t>fd5dc77c129022ee</t>
  </si>
  <si>
    <t>e9281136c487086d</t>
  </si>
  <si>
    <t>Aloha</t>
  </si>
  <si>
    <t>Portland</t>
  </si>
  <si>
    <t>Lake Oswego</t>
  </si>
  <si>
    <t>Salem</t>
  </si>
  <si>
    <t>Vancouver</t>
  </si>
  <si>
    <t>Jennings Lodge</t>
  </si>
  <si>
    <t>Gresham</t>
  </si>
  <si>
    <t>Silverton</t>
  </si>
  <si>
    <t>Hayesville</t>
  </si>
  <si>
    <t>Oregon City</t>
  </si>
  <si>
    <t>Beaverton</t>
  </si>
  <si>
    <t>Wilsonville</t>
  </si>
  <si>
    <t>Oak Hills</t>
  </si>
  <si>
    <t>West Linn</t>
  </si>
  <si>
    <t>Milwaukie</t>
  </si>
  <si>
    <t>Happy Valley</t>
  </si>
  <si>
    <t>Tualatin</t>
  </si>
  <si>
    <t>Hillsboro</t>
  </si>
  <si>
    <t>Tigard</t>
  </si>
  <si>
    <t>Sherwood</t>
  </si>
  <si>
    <t>Keizer</t>
  </si>
  <si>
    <t>Oatfield</t>
  </si>
  <si>
    <t>city</t>
  </si>
  <si>
    <t>3_1647732856431706112 3_1647732856729522177</t>
  </si>
  <si>
    <t>16_1662165853989908480</t>
  </si>
  <si>
    <t>3_1690275084421025792</t>
  </si>
  <si>
    <t>3_1731199027096813568</t>
  </si>
  <si>
    <t>3_1714830780483182592</t>
  </si>
  <si>
    <t>3_1751703093279137792</t>
  </si>
  <si>
    <t>3_1727097996918349824</t>
  </si>
  <si>
    <t>7_1748620090319286272</t>
  </si>
  <si>
    <t>7_1749102754260279297</t>
  </si>
  <si>
    <t>16_1749508441788571650</t>
  </si>
  <si>
    <t>7_1643618784517783552</t>
  </si>
  <si>
    <t>3_1747757977879150592</t>
  </si>
  <si>
    <t>7_1639364432638902272</t>
  </si>
  <si>
    <t>3_1652024251786903568</t>
  </si>
  <si>
    <t>3_1647044308498014209</t>
  </si>
  <si>
    <t>7_1713681394151415808</t>
  </si>
  <si>
    <t>3_1661885929102123009</t>
  </si>
  <si>
    <t>3_1724378521349554176</t>
  </si>
  <si>
    <t>16_1634391859350114304 16_1634391866971140096</t>
  </si>
  <si>
    <t>3_1736197026311020544 3_1736197029024681984</t>
  </si>
  <si>
    <t>7_1624170319727452188</t>
  </si>
  <si>
    <t>13_1742285828414693376</t>
  </si>
  <si>
    <t>1647732862085660673</t>
  </si>
  <si>
    <t>1750962446632952121</t>
  </si>
  <si>
    <t>1749502813778882575</t>
  </si>
  <si>
    <t>1751706524765069614</t>
  </si>
  <si>
    <t>1742571564724564246</t>
  </si>
  <si>
    <t>1749645401077276721</t>
  </si>
  <si>
    <t>1749456226981695887</t>
  </si>
  <si>
    <t>1749101501169926482</t>
  </si>
  <si>
    <t>1742328720814453040</t>
  </si>
  <si>
    <t>1662165862126878722</t>
  </si>
  <si>
    <t>1751314325946634441</t>
  </si>
  <si>
    <t>1749482945491165503</t>
  </si>
  <si>
    <t>1690275088648790016</t>
  </si>
  <si>
    <t>1687892365766533120</t>
  </si>
  <si>
    <t>1610481704812318720</t>
  </si>
  <si>
    <t>1738019628411244576</t>
  </si>
  <si>
    <t>1646635665021624320</t>
  </si>
  <si>
    <t>1750285858627092898</t>
  </si>
  <si>
    <t>1750828716304031958</t>
  </si>
  <si>
    <t>1625008547397517314</t>
  </si>
  <si>
    <t>1731199031660188151</t>
  </si>
  <si>
    <t>1745260812602921283</t>
  </si>
  <si>
    <t>1714830782173532265</t>
  </si>
  <si>
    <t>1733186334825857167</t>
  </si>
  <si>
    <t>1670500185171173376</t>
  </si>
  <si>
    <t>1713770934107251164</t>
  </si>
  <si>
    <t>1749883635510223077</t>
  </si>
  <si>
    <t>1749881619031441597</t>
  </si>
  <si>
    <t>1751325628740292758</t>
  </si>
  <si>
    <t>1749840560029094028</t>
  </si>
  <si>
    <t>1749971040888029565</t>
  </si>
  <si>
    <t>1706093361046979004</t>
  </si>
  <si>
    <t>1750533595117359173</t>
  </si>
  <si>
    <t>1633261521764749312</t>
  </si>
  <si>
    <t>1751703097620205710</t>
  </si>
  <si>
    <t>1750371089581264995</t>
  </si>
  <si>
    <t>1751136110875730312</t>
  </si>
  <si>
    <t>1711816674671034456</t>
  </si>
  <si>
    <t>1676331792742383617</t>
  </si>
  <si>
    <t>1727097998881239378</t>
  </si>
  <si>
    <t>1735812424413155787</t>
  </si>
  <si>
    <t>1633288341922910208</t>
  </si>
  <si>
    <t>1690192659791704064</t>
  </si>
  <si>
    <t>1750656027555754361</t>
  </si>
  <si>
    <t>1751509424005615896</t>
  </si>
  <si>
    <t>1635358869835907073</t>
  </si>
  <si>
    <t>1751858866869166451</t>
  </si>
  <si>
    <t>1751859548636471391</t>
  </si>
  <si>
    <t>1749178556813394317</t>
  </si>
  <si>
    <t>1735798109244997882</t>
  </si>
  <si>
    <t>1725661990784532884</t>
  </si>
  <si>
    <t>1751319552162754926</t>
  </si>
  <si>
    <t>1718091656577290258</t>
  </si>
  <si>
    <t>1750172350073696433</t>
  </si>
  <si>
    <t>1627444091712831488</t>
  </si>
  <si>
    <t>1749458037751038128</t>
  </si>
  <si>
    <t>1629685613338447872</t>
  </si>
  <si>
    <t>1750268210950377921</t>
  </si>
  <si>
    <t>1722878157601259996</t>
  </si>
  <si>
    <t>1643675040540684288</t>
  </si>
  <si>
    <t>1712518692662292874</t>
  </si>
  <si>
    <t>1750723160238870792</t>
  </si>
  <si>
    <t>1690960342959132672</t>
  </si>
  <si>
    <t>1721539068994220319</t>
  </si>
  <si>
    <t>1721539015890092379</t>
  </si>
  <si>
    <t>1751719842351313121</t>
  </si>
  <si>
    <t>1751727035846885617</t>
  </si>
  <si>
    <t>1749110365558857961</t>
  </si>
  <si>
    <t>1680826690954747904</t>
  </si>
  <si>
    <t>1657103351157346316</t>
  </si>
  <si>
    <t>1657108083825582081</t>
  </si>
  <si>
    <t>1684219740389257218</t>
  </si>
  <si>
    <t>1655382576570437632</t>
  </si>
  <si>
    <t>1744043745061093619</t>
  </si>
  <si>
    <t>1748620187526402171</t>
  </si>
  <si>
    <t>1750257933307547749</t>
  </si>
  <si>
    <t>1750324372844495189</t>
  </si>
  <si>
    <t>1749457140287479825</t>
  </si>
  <si>
    <t>1749508447631208808</t>
  </si>
  <si>
    <t>1643619095886155778</t>
  </si>
  <si>
    <t>1652037196151681025</t>
  </si>
  <si>
    <t>1699794466289353190</t>
  </si>
  <si>
    <t>1749866062722809880</t>
  </si>
  <si>
    <t>1747757980383121613</t>
  </si>
  <si>
    <t>1633060745029246977</t>
  </si>
  <si>
    <t>1661086352597991424</t>
  </si>
  <si>
    <t>1639364467489382401</t>
  </si>
  <si>
    <t>1727109675538362542</t>
  </si>
  <si>
    <t>1624510550893035520</t>
  </si>
  <si>
    <t>1751658059280318776</t>
  </si>
  <si>
    <t>1652024275446972424</t>
  </si>
  <si>
    <t>1751692600908902683</t>
  </si>
  <si>
    <t>1718753345513677013</t>
  </si>
  <si>
    <t>1692929296292356600</t>
  </si>
  <si>
    <t>1720522821670175086</t>
  </si>
  <si>
    <t>1612999750961463296</t>
  </si>
  <si>
    <t>1610060521012891648</t>
  </si>
  <si>
    <t>1615133728845754368</t>
  </si>
  <si>
    <t>1615132228710985728</t>
  </si>
  <si>
    <t>1624561730180517888</t>
  </si>
  <si>
    <t>1689778018502561795</t>
  </si>
  <si>
    <t>1623109832999055360</t>
  </si>
  <si>
    <t>1691645384270192841</t>
  </si>
  <si>
    <t>1668292643582013444</t>
  </si>
  <si>
    <t>1664849878642753536</t>
  </si>
  <si>
    <t>1749274009307652506</t>
  </si>
  <si>
    <t>1750324419812339959</t>
  </si>
  <si>
    <t>1698859727701291245</t>
  </si>
  <si>
    <t>1710729688250044693</t>
  </si>
  <si>
    <t>1710722251216298486</t>
  </si>
  <si>
    <t>1616909875031965696</t>
  </si>
  <si>
    <t>1647044311543083008</t>
  </si>
  <si>
    <t>1713702623033917749</t>
  </si>
  <si>
    <t>1661885931794874368</t>
  </si>
  <si>
    <t>1622607952782954497</t>
  </si>
  <si>
    <t>1724378522633068940</t>
  </si>
  <si>
    <t>1634391878882963457</t>
  </si>
  <si>
    <t>1736197030660448260</t>
  </si>
  <si>
    <t>1718715534114517365</t>
  </si>
  <si>
    <t>1750481635651514547</t>
  </si>
  <si>
    <t>1624170480482541588</t>
  </si>
  <si>
    <t>1624547533694582784</t>
  </si>
  <si>
    <t>1751490470927368410</t>
  </si>
  <si>
    <t>1750150176587809254</t>
  </si>
  <si>
    <t>1751334373213777966</t>
  </si>
  <si>
    <t>1751122990299775023</t>
  </si>
  <si>
    <t>1751009658565779470</t>
  </si>
  <si>
    <t>1749281997749449163</t>
  </si>
  <si>
    <t>1742285926200672484</t>
  </si>
  <si>
    <t>1749652350330143150</t>
  </si>
  <si>
    <t>1751969709992640794</t>
  </si>
  <si>
    <t>1690852575535665152</t>
  </si>
  <si>
    <t>1708487206741201174</t>
  </si>
  <si>
    <t>1623856164290318336</t>
  </si>
  <si>
    <t>1688694729750523904</t>
  </si>
  <si>
    <t>1749220355334422815</t>
  </si>
  <si>
    <t>1717541180458881371</t>
  </si>
  <si>
    <t>1717585398829031795</t>
  </si>
  <si>
    <t>1745460385216594281</t>
  </si>
  <si>
    <t>1685707206535356417</t>
  </si>
  <si>
    <t>1750713601894003103</t>
  </si>
  <si>
    <t>1647657442187067395</t>
  </si>
  <si>
    <t>1750960607720054837</t>
  </si>
  <si>
    <t>1749175823658025394</t>
  </si>
  <si>
    <t>1742354468312867322</t>
  </si>
  <si>
    <t>1749634352802156903</t>
  </si>
  <si>
    <t>1751100656839242172</t>
  </si>
  <si>
    <t>1749474742380142997</t>
  </si>
  <si>
    <t>1687892364034252800</t>
  </si>
  <si>
    <t>1610478523868905474</t>
  </si>
  <si>
    <t>1750285398826438963</t>
  </si>
  <si>
    <t>1624815283973005314</t>
  </si>
  <si>
    <t>1731169482142359722</t>
  </si>
  <si>
    <t>1714824624268349935</t>
  </si>
  <si>
    <t>1670451429406908426</t>
  </si>
  <si>
    <t>1749832496651661370</t>
  </si>
  <si>
    <t>1706006583661224441</t>
  </si>
  <si>
    <t>1750169541735227447</t>
  </si>
  <si>
    <t>1633241625005821954</t>
  </si>
  <si>
    <t>1750319951389348161</t>
  </si>
  <si>
    <t>1675243298833956864</t>
  </si>
  <si>
    <t>1750653290352988177</t>
  </si>
  <si>
    <t>1751318596373168213</t>
  </si>
  <si>
    <t>1635291042160467979</t>
  </si>
  <si>
    <t>1751708241363636296</t>
  </si>
  <si>
    <t>1751271010878287976</t>
  </si>
  <si>
    <t>1718091445150880174</t>
  </si>
  <si>
    <t>1750127256742051964</t>
  </si>
  <si>
    <t>1627365138352201728</t>
  </si>
  <si>
    <t>1749407612590829694</t>
  </si>
  <si>
    <t>1629516300425875456</t>
  </si>
  <si>
    <t>1722876716262338720</t>
  </si>
  <si>
    <t>1712510442575159710</t>
  </si>
  <si>
    <t>1751712201990152383</t>
  </si>
  <si>
    <t>1751420985763594379</t>
  </si>
  <si>
    <t>1680666750608633857</t>
  </si>
  <si>
    <t>1683863807725117440</t>
  </si>
  <si>
    <t>1655374748514410496</t>
  </si>
  <si>
    <t>1743805676458033192</t>
  </si>
  <si>
    <t>1750320551267274792</t>
  </si>
  <si>
    <t>1699793710635167813</t>
  </si>
  <si>
    <t>1749835858247651520</t>
  </si>
  <si>
    <t>1624401607336271873</t>
  </si>
  <si>
    <t>1751662544664551922</t>
  </si>
  <si>
    <t>1692702597705069048</t>
  </si>
  <si>
    <t>1668000279546019845</t>
  </si>
  <si>
    <t>1664839033665495040</t>
  </si>
  <si>
    <t>1749088977984909471</t>
  </si>
  <si>
    <t>1750230171473305708</t>
  </si>
  <si>
    <t>1698852047674864031</t>
  </si>
  <si>
    <t>1710716009894867430</t>
  </si>
  <si>
    <t>1647042686065721344</t>
  </si>
  <si>
    <t>1661855441188519937</t>
  </si>
  <si>
    <t>1622369796149989378</t>
  </si>
  <si>
    <t>1724223808507179440</t>
  </si>
  <si>
    <t>1634383120484171776</t>
  </si>
  <si>
    <t>1736179376989835353</t>
  </si>
  <si>
    <t>1750262765825200474</t>
  </si>
  <si>
    <t>1751482425556058444</t>
  </si>
  <si>
    <t>1750044154892071397</t>
  </si>
  <si>
    <t>1749433094745067855</t>
  </si>
  <si>
    <t>1690825233073373184</t>
  </si>
  <si>
    <t>1708268788267856207</t>
  </si>
  <si>
    <t>1742322721143619872</t>
  </si>
  <si>
    <t>1685286512806551552</t>
  </si>
  <si>
    <t>1552351809498320896</t>
  </si>
  <si>
    <t>1391199295</t>
  </si>
  <si>
    <t>72193329</t>
  </si>
  <si>
    <t>49103785</t>
  </si>
  <si>
    <t>1731040528722960384</t>
  </si>
  <si>
    <t>216116121</t>
  </si>
  <si>
    <t>1135368066</t>
  </si>
  <si>
    <t>2381089621</t>
  </si>
  <si>
    <t>1489439804</t>
  </si>
  <si>
    <t>256789870</t>
  </si>
  <si>
    <t>101825287</t>
  </si>
  <si>
    <t>1230676218770579456</t>
  </si>
  <si>
    <t>1780368829</t>
  </si>
  <si>
    <t>545976685</t>
  </si>
  <si>
    <t>757529364</t>
  </si>
  <si>
    <t>23300044</t>
  </si>
  <si>
    <t>27026887</t>
  </si>
  <si>
    <t>1325323566288572418</t>
  </si>
  <si>
    <t>167915369</t>
  </si>
  <si>
    <t>79879197</t>
  </si>
  <si>
    <t>893467965273759745</t>
  </si>
  <si>
    <t>1192866949375639552</t>
  </si>
  <si>
    <t>815745130078445568</t>
  </si>
  <si>
    <t>345790395</t>
  </si>
  <si>
    <t>2960838353</t>
  </si>
  <si>
    <t>113248179</t>
  </si>
  <si>
    <t>1229510264074141696</t>
  </si>
  <si>
    <t>1356434353623093249</t>
  </si>
  <si>
    <t>1130150522483290112</t>
  </si>
  <si>
    <t>1201953403099893760</t>
  </si>
  <si>
    <t>11744152</t>
  </si>
  <si>
    <t>130557513</t>
  </si>
  <si>
    <t>2625684244</t>
  </si>
  <si>
    <t>890061634181373952</t>
  </si>
  <si>
    <t>1106771843929788419</t>
  </si>
  <si>
    <t>1174759376843878406</t>
  </si>
  <si>
    <t>37491797</t>
  </si>
  <si>
    <t>1038726722</t>
  </si>
  <si>
    <t>27546028</t>
  </si>
  <si>
    <t>1287169096224841730</t>
  </si>
  <si>
    <t>1382151111298125825</t>
  </si>
  <si>
    <t>738779772</t>
  </si>
  <si>
    <t>1491160462876049410</t>
  </si>
  <si>
    <t>745436766375534593</t>
  </si>
  <si>
    <t>872192111214338048</t>
  </si>
  <si>
    <t>1448945734590533685</t>
  </si>
  <si>
    <t>119775366</t>
  </si>
  <si>
    <t>73195756</t>
  </si>
  <si>
    <t>3766159813</t>
  </si>
  <si>
    <t>902331528167829504</t>
  </si>
  <si>
    <t>1645181116490317827</t>
  </si>
  <si>
    <t>1475977448613285890</t>
  </si>
  <si>
    <t>558769636</t>
  </si>
  <si>
    <t>895112509086089216</t>
  </si>
  <si>
    <t>1493294940708696069</t>
  </si>
  <si>
    <t>1500706012386390017</t>
  </si>
  <si>
    <t>908203366408433664</t>
  </si>
  <si>
    <t>1513192336926425100</t>
  </si>
  <si>
    <t>923730057276870656</t>
  </si>
  <si>
    <t>41400048</t>
  </si>
  <si>
    <t>1046938994766958592</t>
  </si>
  <si>
    <t>1553943156168720391</t>
  </si>
  <si>
    <t>1647695639390871552</t>
  </si>
  <si>
    <t>1749478453596782753</t>
  </si>
  <si>
    <t>1742357479638655014</t>
  </si>
  <si>
    <t/>
  </si>
  <si>
    <t>1749480754990416304</t>
  </si>
  <si>
    <t>1731187333985444066</t>
  </si>
  <si>
    <t>1670485064742850560</t>
  </si>
  <si>
    <t>1749882631670632902</t>
  </si>
  <si>
    <t>1749866239449759898</t>
  </si>
  <si>
    <t>1706081195661173246</t>
  </si>
  <si>
    <t>1750459782706979170</t>
  </si>
  <si>
    <t>1750364861245112425</t>
  </si>
  <si>
    <t>1675577506504806401</t>
  </si>
  <si>
    <t>1750655573526237267</t>
  </si>
  <si>
    <t>1635356019886014464</t>
  </si>
  <si>
    <t>1751311649972064317</t>
  </si>
  <si>
    <t>1684219049306210304</t>
  </si>
  <si>
    <t>1655380499173634049</t>
  </si>
  <si>
    <t>1751692174557888666</t>
  </si>
  <si>
    <t>1668290553287708673</t>
  </si>
  <si>
    <t>1664849757892915200</t>
  </si>
  <si>
    <t>1750323487674438087</t>
  </si>
  <si>
    <t>1698858126244732987</t>
  </si>
  <si>
    <t>1710728555733352888</t>
  </si>
  <si>
    <t>1622416895013158915</t>
  </si>
  <si>
    <t>1751487828129919228</t>
  </si>
  <si>
    <t>1690834143708581888</t>
  </si>
  <si>
    <t>1685705759600848896</t>
  </si>
  <si>
    <t>1751654479412535401</t>
  </si>
  <si>
    <t>1022915305834668033</t>
  </si>
  <si>
    <t>1451946534979788802</t>
  </si>
  <si>
    <t>1052345167011696640</t>
  </si>
  <si>
    <t>1519017633793814528</t>
  </si>
  <si>
    <t>1427065699491487747</t>
  </si>
  <si>
    <t>1079360602454163456</t>
  </si>
  <si>
    <t>1225236847137132544</t>
  </si>
  <si>
    <t>1178435687634239488</t>
  </si>
  <si>
    <t>1677457390181175296</t>
  </si>
  <si>
    <t>1219987752239812608</t>
  </si>
  <si>
    <t>1087446557610336256</t>
  </si>
  <si>
    <t>1352451605950386177</t>
  </si>
  <si>
    <t>1252187964710326272</t>
  </si>
  <si>
    <t>1070456589897756672</t>
  </si>
  <si>
    <t>1692008340207882240</t>
  </si>
  <si>
    <t>1660319368293781505</t>
  </si>
  <si>
    <t>1234302648859316224</t>
  </si>
  <si>
    <t>1225930234819559424</t>
  </si>
  <si>
    <t>846192648549351425</t>
  </si>
  <si>
    <t>1586110371202756610</t>
  </si>
  <si>
    <t>1305612174304227328</t>
  </si>
  <si>
    <t>1104433853110743040</t>
  </si>
  <si>
    <t>1446162783913975818</t>
  </si>
  <si>
    <t>1566857484455018496</t>
  </si>
  <si>
    <t>1723872679974047744</t>
  </si>
  <si>
    <t>1573493607763693568</t>
  </si>
  <si>
    <t>735960243784589313</t>
  </si>
  <si>
    <t>938131598893092866</t>
  </si>
  <si>
    <t>1257099943132622848</t>
  </si>
  <si>
    <t>1586174604141162497</t>
  </si>
  <si>
    <t>1176562844566872064</t>
  </si>
  <si>
    <t>1715501665988538368</t>
  </si>
  <si>
    <t>892387980215590913</t>
  </si>
  <si>
    <t>926164634570067968</t>
  </si>
  <si>
    <t>1520512959625064448</t>
  </si>
  <si>
    <t>825609640033476611</t>
  </si>
  <si>
    <t>1337253603916959745</t>
  </si>
  <si>
    <t>1190691636235227136</t>
  </si>
  <si>
    <t>1152011489001107457</t>
  </si>
  <si>
    <t>1133028237947199489</t>
  </si>
  <si>
    <t>970027558845661184</t>
  </si>
  <si>
    <t>1357165781205745664</t>
  </si>
  <si>
    <t>1404159608839573504</t>
  </si>
  <si>
    <t>795424702747418624</t>
  </si>
  <si>
    <t>1113482654354235392</t>
  </si>
  <si>
    <t>1339462735352844288</t>
  </si>
  <si>
    <t>1033162882471477248</t>
  </si>
  <si>
    <t>1523246504374267904</t>
  </si>
  <si>
    <t>1019790840451887104</t>
  </si>
  <si>
    <t>1455648384442789888</t>
  </si>
  <si>
    <t>855632749905891328</t>
  </si>
  <si>
    <t>1430897772761214976</t>
  </si>
  <si>
    <t>lesnara2</t>
  </si>
  <si>
    <t>nickroj80278654</t>
  </si>
  <si>
    <t>sampack00679914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</si>
  <si>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</si>
  <si>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</si>
  <si>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</si>
  <si>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</si>
  <si>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</si>
  <si>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</si>
  <si>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</si>
  <si>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</si>
  <si>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</si>
  <si>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</si>
  <si>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</si>
  <si>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</si>
  <si>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</si>
  <si>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</si>
  <si>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</si>
  <si>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</si>
  <si>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</si>
  <si>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</si>
  <si>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</si>
  <si>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</si>
  <si>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</si>
  <si>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</si>
  <si>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</si>
  <si>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</si>
  <si>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</si>
  <si>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</si>
  <si>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</si>
  <si>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</si>
  <si>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</si>
  <si>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</si>
  <si>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</si>
  <si>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</si>
  <si>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</si>
  <si>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</si>
  <si>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</si>
  <si>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</si>
  <si>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</si>
  <si>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OR Capital Bureau</t>
  </si>
  <si>
    <t>Steve M</t>
  </si>
  <si>
    <t>Kryssi _xD83C__xDDE8__xD83C__xDDE6_</t>
  </si>
  <si>
    <t>Decaying LA</t>
  </si>
  <si>
    <t>Phuoc "Francis" Nguyen ✍️</t>
  </si>
  <si>
    <t>Nathan Rawlins-Kibonge</t>
  </si>
  <si>
    <t>Crime clips</t>
  </si>
  <si>
    <t>US Civil Defense News</t>
  </si>
  <si>
    <t>MindActivist</t>
  </si>
  <si>
    <t>okron</t>
  </si>
  <si>
    <t>Kyle Kennedy, CSCS</t>
  </si>
  <si>
    <t>CMpaugh</t>
  </si>
  <si>
    <t>Ben Edtl</t>
  </si>
  <si>
    <t>Byron Stine</t>
  </si>
  <si>
    <t>DiedSuddenly</t>
  </si>
  <si>
    <t>SQUIDGROWisthefuture</t>
  </si>
  <si>
    <t>Becca Benz</t>
  </si>
  <si>
    <t>Phil S. Dixon</t>
  </si>
  <si>
    <t>Progressive Globe</t>
  </si>
  <si>
    <t>J Sanchez</t>
  </si>
  <si>
    <t>PDX Real</t>
  </si>
  <si>
    <t>Chris Larsson - Recruiter &amp; Coach eXp Realty</t>
  </si>
  <si>
    <t>Blue Collar Intellectual</t>
  </si>
  <si>
    <t>Oregon Citizen</t>
  </si>
  <si>
    <t>Chris Richards _xD83D__xDC2C__xD83D__xDD96__xD83C__xDFFB_ eclecticradical .bsky.social</t>
  </si>
  <si>
    <t>☆ ʲ ᵘ ˡ ᵉ ˢ ☆</t>
  </si>
  <si>
    <t>tek_sauce / @teksauce.bsky.social</t>
  </si>
  <si>
    <t>Jake from Guyco</t>
  </si>
  <si>
    <t>g.Lo™</t>
  </si>
  <si>
    <t>Aaron Poole</t>
  </si>
  <si>
    <t>MarkCoker _xD83C__xDFC0_</t>
  </si>
  <si>
    <t>Danny Marang</t>
  </si>
  <si>
    <t>Sayla</t>
  </si>
  <si>
    <t>David</t>
  </si>
  <si>
    <t>Van Dennis</t>
  </si>
  <si>
    <t>Emyliath</t>
  </si>
  <si>
    <t>GG</t>
  </si>
  <si>
    <t>Joe Pompliano</t>
  </si>
  <si>
    <t>Tina</t>
  </si>
  <si>
    <t>Justice</t>
  </si>
  <si>
    <t>Zizou</t>
  </si>
  <si>
    <t>Rachel Leann Schultz</t>
  </si>
  <si>
    <t>JennieFromHappyRock☮️She/Her</t>
  </si>
  <si>
    <t>Kenny Akers</t>
  </si>
  <si>
    <t>A Kazeni</t>
  </si>
  <si>
    <t>Ron DeSantis</t>
  </si>
  <si>
    <t>Team DeSantis</t>
  </si>
  <si>
    <t>Lara reads banned books in Florida</t>
  </si>
  <si>
    <t>Millie Minet ☔️</t>
  </si>
  <si>
    <t>IZI</t>
  </si>
  <si>
    <t>Ari Meirov</t>
  </si>
  <si>
    <t>_xD83C__xDDFA__xD83C__xDDF8_ Logic,Reason,Decency _xD83C__xDDFA__xD83C__xDDF8_</t>
  </si>
  <si>
    <t>ジョセフ</t>
  </si>
  <si>
    <t>Tootie Smith</t>
  </si>
  <si>
    <t>Synthpop PsyOp_xD83C__xDDF5__xD83C__xDDF8_</t>
  </si>
  <si>
    <t>Robert J Kingsbury</t>
  </si>
  <si>
    <t>New York Post</t>
  </si>
  <si>
    <t>Breaking PDX News</t>
  </si>
  <si>
    <t>Steve Ritchie</t>
  </si>
  <si>
    <t>James Crepea</t>
  </si>
  <si>
    <t>Jeffrey Laobowski</t>
  </si>
  <si>
    <t>natalie “anxiety spice” {keeps going}</t>
  </si>
  <si>
    <t>Disabled Doctor</t>
  </si>
  <si>
    <t>One World Government Is Antiracist</t>
  </si>
  <si>
    <t>☃️Michele (Fyremelon)_xD83C__xDF84_</t>
  </si>
  <si>
    <t>Jaz_xD83D__xDEE1_️_xD83C__xDF10__xD83D__xDD17_</t>
  </si>
  <si>
    <t>MiniTrue Archive</t>
  </si>
  <si>
    <t>_xD83C__xDFF3_️‍_xD83C__xDF08_⭐fangirl is a confirmed homosexual</t>
  </si>
  <si>
    <t>Carissa is in Barbie Mode</t>
  </si>
  <si>
    <t>MC</t>
  </si>
  <si>
    <t>Kythrainaworldwithoutwalls</t>
  </si>
  <si>
    <t>David Tapley</t>
  </si>
  <si>
    <t>Chris Fairley Photography</t>
  </si>
  <si>
    <t>Floridiana_xD83C__xDF3A_</t>
  </si>
  <si>
    <t>Mathew Toll</t>
  </si>
  <si>
    <t>SuhLabs</t>
  </si>
  <si>
    <t>David Phipps</t>
  </si>
  <si>
    <t>Sam Balto</t>
  </si>
  <si>
    <t>Senator Jeff Merkley</t>
  </si>
  <si>
    <t>علياء_xD83C__xDDEA__xD83C__xDDEC_</t>
  </si>
  <si>
    <t>Annie _xD83D__xDC9A_♏</t>
  </si>
  <si>
    <t>Gregor Macdonald</t>
  </si>
  <si>
    <t>Red</t>
  </si>
  <si>
    <t>StumptownGrrl - rewind to Portland OR 1989</t>
  </si>
  <si>
    <t>George Hayduke Oliver</t>
  </si>
  <si>
    <t>Max Belousov</t>
  </si>
  <si>
    <t>OregonDOT</t>
  </si>
  <si>
    <t>Kate Sattler | Sweet Freeze</t>
  </si>
  <si>
    <t>#LupusChat</t>
  </si>
  <si>
    <t>OHSU Brain Institute</t>
  </si>
  <si>
    <t>OregonLive.com</t>
  </si>
  <si>
    <t>U.S. Department of Transportation</t>
  </si>
  <si>
    <t>Frank Lucas</t>
  </si>
  <si>
    <t>Keith Holven</t>
  </si>
  <si>
    <t>QG Jenna _xD83D__xDDA4_</t>
  </si>
  <si>
    <t>Mark</t>
  </si>
  <si>
    <t>Timothy Hellman</t>
  </si>
  <si>
    <t>Good vibes enjoyer</t>
  </si>
  <si>
    <t>Pastor Jack Caliber</t>
  </si>
  <si>
    <t>Molly</t>
  </si>
  <si>
    <t>greg</t>
  </si>
  <si>
    <t>Rice W. Rencela</t>
  </si>
  <si>
    <t>_xD83C__xDF43__xD83D__xDCA8_Weeders_xD83D__xDCA8__xD83C__xDF43_</t>
  </si>
  <si>
    <t>Lisa sanders</t>
  </si>
  <si>
    <t>Ronny Jackson</t>
  </si>
  <si>
    <t>Tina Stinnett</t>
  </si>
  <si>
    <t>PDXfanatic _xD83C__xDF39__xD83C__xDDFA__xD83C__xDDF8_</t>
  </si>
  <si>
    <t>Yashar Ali _xD83D__xDC18_</t>
  </si>
  <si>
    <t>_xD835__xDD3C__xD835__xDD63__xD835__xDD5A__xD835__xDD5C_ _xD83C__xDDEA__xD83C__xDDEA__xD83C__xDF3B_</t>
  </si>
  <si>
    <t>Jeff Forgeron</t>
  </si>
  <si>
    <t>Scott Bernstein</t>
  </si>
  <si>
    <t>Mehdi Hasan</t>
  </si>
  <si>
    <t>Patrick F. Herlihy</t>
  </si>
  <si>
    <t>Pardon My Pain _xD80C__xDD7B_</t>
  </si>
  <si>
    <t>Naomi Harvey PhD #WearAMask</t>
  </si>
  <si>
    <t>WingsAtLast</t>
  </si>
  <si>
    <t>RNC Research</t>
  </si>
  <si>
    <t>Collin Rugg</t>
  </si>
  <si>
    <t>KGW News</t>
  </si>
  <si>
    <t>Occam’s Shaving Butter</t>
  </si>
  <si>
    <t>Hoodlum _xD83C__xDDFA__xD83C__xDDF8_</t>
  </si>
  <si>
    <t>Chuck Woolery</t>
  </si>
  <si>
    <t>William Purcell</t>
  </si>
  <si>
    <t>Art Burke</t>
  </si>
  <si>
    <t>Moderna</t>
  </si>
  <si>
    <t>Alex Berenson</t>
  </si>
  <si>
    <t>MojoCuba</t>
  </si>
  <si>
    <t>Robin Shattock</t>
  </si>
  <si>
    <t>Steve Kirsch</t>
  </si>
  <si>
    <t>Kevin Bass PhD MS</t>
  </si>
  <si>
    <t>מרדכי קלומפס Mordechai Klompas مردخاي كلامبس</t>
  </si>
  <si>
    <t>syrivulgar.bsky.social</t>
  </si>
  <si>
    <t>The Beautiful Struggle</t>
  </si>
  <si>
    <t>Trevor</t>
  </si>
  <si>
    <t>Gimme The Rock</t>
  </si>
  <si>
    <t>BLUEMAN</t>
  </si>
  <si>
    <t>schwan humes</t>
  </si>
  <si>
    <t>CL Owens _xD83C__xDFC0_ _xD83C__xDDFA__xD83C__xDDF8_</t>
  </si>
  <si>
    <t>Mueller, She Wrote</t>
  </si>
  <si>
    <t>Tim Murray</t>
  </si>
  <si>
    <t>VotingRightsNow_xD83D__xDFE7_☮️_xD83D__xDE4F__xD83C__xDFFE__xD83D__xDE4F__xD83D__xDE4F__xD83C__xDFFD__xD83D__xDE4F__xD83C__xDFFB__xD83D__xDE4F__xD83C__xDFFF_</t>
  </si>
  <si>
    <t>Sawyer Hackett</t>
  </si>
  <si>
    <t>Ivy 'Pretty Poison' Van Hope _xD83C__xDF3F__xD83C__xDF52__xD83E__xDEE6__xD83C__xDFA4_</t>
  </si>
  <si>
    <t>Meg/Florida Woman/Hurricane</t>
  </si>
  <si>
    <t>adrian montiel</t>
  </si>
  <si>
    <t>B</t>
  </si>
  <si>
    <t>✦</t>
  </si>
  <si>
    <t>White w/a side of mayo_xD83D__xDE09__xD83C__xDF0A__xD83C__xDDFA__xD83C__xDDF8__xD83C__xDF08__xD83C__xDDFA__xD83C__xDDE6__xD83C__xDFD2_</t>
  </si>
  <si>
    <t>Peter Taylor | Realtor®️ WA/OR</t>
  </si>
  <si>
    <t>ANT _xD83D__xDC97_</t>
  </si>
  <si>
    <t>Dick Martinez</t>
  </si>
  <si>
    <t>Lakota Man</t>
  </si>
  <si>
    <t>PortlandisBURNING</t>
  </si>
  <si>
    <t>(_xD83E__xDDA5_)</t>
  </si>
  <si>
    <t>20 Minute Promo</t>
  </si>
  <si>
    <t>_xD835__xDE77__xD835__xDE8A__xD835__xDE97__xD835__xDE97__xD835__xDE8A__xD835__xDE91_ _xD835__xDE72__xD835__xDE9B__xD835__xDE8A__xD835__xDEA3__xD835__xDEA2__xD835__xDE91__xD835__xDE8A__xD835__xDEA0__xD835__xDE94_</t>
  </si>
  <si>
    <t>Joanna No Banana</t>
  </si>
  <si>
    <t>【正義の虎™ 】Ken D. Blackwell (ベリファイド)</t>
  </si>
  <si>
    <t>JORYU JOMAMA @ IW _xD83C__xDFDD_️_xD83C__xDF3A_</t>
  </si>
  <si>
    <t>Nick Fenton</t>
  </si>
  <si>
    <t>Everett</t>
  </si>
  <si>
    <t>Matthew M.</t>
  </si>
  <si>
    <t>anglo-saxophone _xD83D__xDD4A_️</t>
  </si>
  <si>
    <t>Maxmad52</t>
  </si>
  <si>
    <t>Dutch is Guilty of Wrongthink</t>
  </si>
  <si>
    <t>STREET FIGHT _xD83D__xDD1E__xD83E__xDD4A_ 1M?_xD83E__xDD29_(FOLLOW FOR NOTHING MISSED)</t>
  </si>
  <si>
    <t>#MedicareForAll tiktok.com/@TheLostDiva</t>
  </si>
  <si>
    <t>Wade Turnbull</t>
  </si>
  <si>
    <t>Mary Bartula</t>
  </si>
  <si>
    <t>look out beelo</t>
  </si>
  <si>
    <t>Ray Terrill</t>
  </si>
  <si>
    <t>Jeremy McDonald</t>
  </si>
  <si>
    <t>Luke Roth</t>
  </si>
  <si>
    <t>Blake PDX</t>
  </si>
  <si>
    <t>Miami Dolphins</t>
  </si>
  <si>
    <t>Quinton Murdock θΔ</t>
  </si>
  <si>
    <t>Icarus_xD83C__xDFF4_✳ApoIIo Is on T (They/He/Sin/Sol/Rot)</t>
  </si>
  <si>
    <t>UltraNuclear #OneTrickPonyTina 4 Oregon - Rich Lee</t>
  </si>
  <si>
    <t>OR Secretary of State's office</t>
  </si>
  <si>
    <t>Jeff Merkley</t>
  </si>
  <si>
    <t>Earl Blumenauer</t>
  </si>
  <si>
    <t>Suzanne Bonamici</t>
  </si>
  <si>
    <t>Tucker Carlson</t>
  </si>
  <si>
    <t>Sean Hannity _xD83C__xDDFA__xD83C__xDDF8_</t>
  </si>
  <si>
    <t>Jannine.. #MagaMemeQueen ™️ _xD83D__xDC51__xD83C__xDDFA__xD83C__xDDF8_</t>
  </si>
  <si>
    <t>Marie Gluesenkamp Perez</t>
  </si>
  <si>
    <t>StarSpangled2AMeditator_xD83C__xDDFA__xD83C__xDDF8__xD83D__xDCAF__xD83C__xDDFA__xD83C__xDDF8_</t>
  </si>
  <si>
    <t>James Ray _xD83D__xDD3B_</t>
  </si>
  <si>
    <t>SAM4Blue&amp;Green☮️</t>
  </si>
  <si>
    <t>✨✨Linda✨✨☮️ _xD83C__xDF08__xD83D__xDFE7__xD83D__xDFE6__xD83C__xDDFA__xD83C__xDDE6__xD83C__xDFC8_</t>
  </si>
  <si>
    <t>_xD83C__xDF38_ _xD83D__xDC3E_ A to the Z _xD83D__xDC3E__xD83C__xDF38_</t>
  </si>
  <si>
    <t>Brandon Farley</t>
  </si>
  <si>
    <t>Ac7ionMann</t>
  </si>
  <si>
    <t>Portland Business Journal</t>
  </si>
  <si>
    <t>The Oregonian</t>
  </si>
  <si>
    <t>Errant Click (pair-o-deez)</t>
  </si>
  <si>
    <t>katy</t>
  </si>
  <si>
    <t>Sparty T. Dragon</t>
  </si>
  <si>
    <t>tyler oakley // schedule pinned</t>
  </si>
  <si>
    <t>Italiangirl10</t>
  </si>
  <si>
    <t>HoneyBadgerMom</t>
  </si>
  <si>
    <t>Rylo Ken</t>
  </si>
  <si>
    <t>Olayemi Olurin</t>
  </si>
  <si>
    <t>Smilin' Andy _xD83C__xDDFA__xD83C__xDDE6_</t>
  </si>
  <si>
    <t>E With The Good Hair _xD83D__xDC81__xD83C__xDFFB_‍♀️</t>
  </si>
  <si>
    <t>FOX 12 Oregon</t>
  </si>
  <si>
    <t>Mia Villanueva</t>
  </si>
  <si>
    <t>Lisa Wolf</t>
  </si>
  <si>
    <t>David Wallace-Wells</t>
  </si>
  <si>
    <t>Tinselfire</t>
  </si>
  <si>
    <t>Cobra.Economics</t>
  </si>
  <si>
    <t>The Seattle Times</t>
  </si>
  <si>
    <t>lesnara</t>
  </si>
  <si>
    <t>Nick Rojas</t>
  </si>
  <si>
    <t>Sam Pack</t>
  </si>
  <si>
    <t>DickHughes</t>
  </si>
  <si>
    <t>3017995074</t>
  </si>
  <si>
    <t>2303676979</t>
  </si>
  <si>
    <t>1197537724988895233</t>
  </si>
  <si>
    <t>1613349662131453952</t>
  </si>
  <si>
    <t>1592975103645581315</t>
  </si>
  <si>
    <t>2421176029</t>
  </si>
  <si>
    <t>894133565318975489</t>
  </si>
  <si>
    <t>17674946</t>
  </si>
  <si>
    <t>1577761560394665984</t>
  </si>
  <si>
    <t>2786420790</t>
  </si>
  <si>
    <t>705314388</t>
  </si>
  <si>
    <t>943282171988627456</t>
  </si>
  <si>
    <t>468174606</t>
  </si>
  <si>
    <t>3789907333</t>
  </si>
  <si>
    <t>1515310844</t>
  </si>
  <si>
    <t>2547545466</t>
  </si>
  <si>
    <t>36297407</t>
  </si>
  <si>
    <t>4411102649</t>
  </si>
  <si>
    <t>47545907</t>
  </si>
  <si>
    <t>487297085</t>
  </si>
  <si>
    <t>1402637486510256135</t>
  </si>
  <si>
    <t>887052266741616640</t>
  </si>
  <si>
    <t>574698410</t>
  </si>
  <si>
    <t>1312367672</t>
  </si>
  <si>
    <t>296937534</t>
  </si>
  <si>
    <t>247073825</t>
  </si>
  <si>
    <t>17469289</t>
  </si>
  <si>
    <t>63202181</t>
  </si>
  <si>
    <t>121871722</t>
  </si>
  <si>
    <t>25025508</t>
  </si>
  <si>
    <t>931345868</t>
  </si>
  <si>
    <t>1379055394576867333</t>
  </si>
  <si>
    <t>7943142</t>
  </si>
  <si>
    <t>1242797149882114049</t>
  </si>
  <si>
    <t>4748162512</t>
  </si>
  <si>
    <t>1572171458851532800</t>
  </si>
  <si>
    <t>513597380</t>
  </si>
  <si>
    <t>2808136894</t>
  </si>
  <si>
    <t>29201047</t>
  </si>
  <si>
    <t>636629755</t>
  </si>
  <si>
    <t>12329252</t>
  </si>
  <si>
    <t>18642669</t>
  </si>
  <si>
    <t>250872552</t>
  </si>
  <si>
    <t>454235500</t>
  </si>
  <si>
    <t>28183225</t>
  </si>
  <si>
    <t>393562221</t>
  </si>
  <si>
    <t>393650365</t>
  </si>
  <si>
    <t>1583990681843924993</t>
  </si>
  <si>
    <t>3193949707</t>
  </si>
  <si>
    <t>76211602</t>
  </si>
  <si>
    <t>46821352</t>
  </si>
  <si>
    <t>113704528</t>
  </si>
  <si>
    <t>55329156</t>
  </si>
  <si>
    <t>14185814</t>
  </si>
  <si>
    <t>462104542</t>
  </si>
  <si>
    <t>67397666</t>
  </si>
  <si>
    <t>1217242807</t>
  </si>
  <si>
    <t>2227355222</t>
  </si>
  <si>
    <t>87679233</t>
  </si>
  <si>
    <t>3355132191</t>
  </si>
  <si>
    <t>181832906</t>
  </si>
  <si>
    <t>772183455329316864</t>
  </si>
  <si>
    <t>1615161340552773638</t>
  </si>
  <si>
    <t>1227694846237954049</t>
  </si>
  <si>
    <t>624112241</t>
  </si>
  <si>
    <t>307536357</t>
  </si>
  <si>
    <t>1454713914</t>
  </si>
  <si>
    <t>219141142</t>
  </si>
  <si>
    <t>2563016869</t>
  </si>
  <si>
    <t>1717931833</t>
  </si>
  <si>
    <t>2261393899</t>
  </si>
  <si>
    <t>1353062778085339141</t>
  </si>
  <si>
    <t>157617240</t>
  </si>
  <si>
    <t>2307566251</t>
  </si>
  <si>
    <t>775428280841363456</t>
  </si>
  <si>
    <t>1365066117400702979</t>
  </si>
  <si>
    <t>22869375</t>
  </si>
  <si>
    <t>803208264</t>
  </si>
  <si>
    <t>541855177</t>
  </si>
  <si>
    <t>352146432</t>
  </si>
  <si>
    <t>87288368</t>
  </si>
  <si>
    <t>19853312</t>
  </si>
  <si>
    <t>61887216</t>
  </si>
  <si>
    <t>223166587</t>
  </si>
  <si>
    <t>15954997</t>
  </si>
  <si>
    <t>22703645</t>
  </si>
  <si>
    <t>41634520</t>
  </si>
  <si>
    <t>3240330844</t>
  </si>
  <si>
    <t>174242226</t>
  </si>
  <si>
    <t>17135038</t>
  </si>
  <si>
    <t>2992751</t>
  </si>
  <si>
    <t>155701809</t>
  </si>
  <si>
    <t>14222536</t>
  </si>
  <si>
    <t>16542604</t>
  </si>
  <si>
    <t>3114063950</t>
  </si>
  <si>
    <t>15564045</t>
  </si>
  <si>
    <t>35806364</t>
  </si>
  <si>
    <t>139196645</t>
  </si>
  <si>
    <t>260478229</t>
  </si>
  <si>
    <t>1559530337515995140</t>
  </si>
  <si>
    <t>14352556</t>
  </si>
  <si>
    <t>1263456385322192901</t>
  </si>
  <si>
    <t>1518687378193453056</t>
  </si>
  <si>
    <t>1478326149159833605</t>
  </si>
  <si>
    <t>16121482</t>
  </si>
  <si>
    <t>Salem, Oregon</t>
  </si>
  <si>
    <t>Territory FPM</t>
  </si>
  <si>
    <t xml:space="preserve">Terabithia </t>
  </si>
  <si>
    <t>Los Angeles, CA</t>
  </si>
  <si>
    <t>Austin, TX</t>
  </si>
  <si>
    <t>Ottawa, Canada</t>
  </si>
  <si>
    <t xml:space="preserve">Florida </t>
  </si>
  <si>
    <t>Kansas City, Missouri</t>
  </si>
  <si>
    <t>PDX, OR</t>
  </si>
  <si>
    <t>Oregon, USA</t>
  </si>
  <si>
    <t>Failed Settler Colonial State</t>
  </si>
  <si>
    <t xml:space="preserve">Honolulu/Portland </t>
  </si>
  <si>
    <t>Cherry City</t>
  </si>
  <si>
    <t>Waianae, HI</t>
  </si>
  <si>
    <t xml:space="preserve">Using boobs for views </t>
  </si>
  <si>
    <t>WA,NY,HI,FL,CA, GA _xD83C__xDF3A_ USA</t>
  </si>
  <si>
    <t>NOBODYCARES</t>
  </si>
  <si>
    <t>Gladstone, OR</t>
  </si>
  <si>
    <t>Salt Lake City, UT</t>
  </si>
  <si>
    <t>Miami Beach, FL</t>
  </si>
  <si>
    <t>Florida</t>
  </si>
  <si>
    <t>Planet Earth _xD83C__xDF0E_</t>
  </si>
  <si>
    <t>NPT</t>
  </si>
  <si>
    <t>New York</t>
  </si>
  <si>
    <t>Canby, OR</t>
  </si>
  <si>
    <t>New York, NY</t>
  </si>
  <si>
    <t>Molalla, Oregon</t>
  </si>
  <si>
    <t>Wilsonville, or.</t>
  </si>
  <si>
    <t>Portland, Oregon</t>
  </si>
  <si>
    <t>Eugene, OR</t>
  </si>
  <si>
    <t>Don't bother being nice to me.</t>
  </si>
  <si>
    <t>Salem, Oregon, USA</t>
  </si>
  <si>
    <t>Atlanta, GA</t>
  </si>
  <si>
    <t>Cornelius, Oregon</t>
  </si>
  <si>
    <t>SW Florida</t>
  </si>
  <si>
    <t>Melbourne</t>
  </si>
  <si>
    <t xml:space="preserve">San Francisco Bay Area. </t>
  </si>
  <si>
    <t>Oregon</t>
  </si>
  <si>
    <t>Here in the PNW</t>
  </si>
  <si>
    <t xml:space="preserve">Worldwide </t>
  </si>
  <si>
    <t>Washington, DC</t>
  </si>
  <si>
    <t>Banks, OR</t>
  </si>
  <si>
    <t>Scarif</t>
  </si>
  <si>
    <t>Philadelphia, PA</t>
  </si>
  <si>
    <t>Camas, WA</t>
  </si>
  <si>
    <t>Kentucky, USA</t>
  </si>
  <si>
    <t>Canada</t>
  </si>
  <si>
    <t>Amarillo, Texas</t>
  </si>
  <si>
    <t>_xD83D__xDC18__xD83D__xDC18__xD83D__xDC18__xD83D__xDC18_</t>
  </si>
  <si>
    <t>North end, Oregon's green side</t>
  </si>
  <si>
    <t>Washington DC</t>
  </si>
  <si>
    <t>UK.Own views.Married-don’t DM</t>
  </si>
  <si>
    <t>_xD83C__xDDFA__xD83C__xDDF8__xD83C__xDDFA__xD83C__xDDF8__xD83C__xDDFA__xD83C__xDDF8_</t>
  </si>
  <si>
    <t>New York, USA</t>
  </si>
  <si>
    <t>Texas</t>
  </si>
  <si>
    <t>Cambridge, MA</t>
  </si>
  <si>
    <t>somewhere</t>
  </si>
  <si>
    <t>United Kingdom</t>
  </si>
  <si>
    <t>Los Altos Hills, CA</t>
  </si>
  <si>
    <t>Brooklyn, NY</t>
  </si>
  <si>
    <t>Los Angeles</t>
  </si>
  <si>
    <t>San Diego, CA</t>
  </si>
  <si>
    <t>Portland Oregon</t>
  </si>
  <si>
    <t xml:space="preserve">Golden, CO &amp; Portland, Oregon </t>
  </si>
  <si>
    <t>Tallahassee, FL</t>
  </si>
  <si>
    <t>he/they, 22</t>
  </si>
  <si>
    <t>Oregon  USA</t>
  </si>
  <si>
    <t>Vancouver , Washington</t>
  </si>
  <si>
    <t xml:space="preserve">Los Angeles </t>
  </si>
  <si>
    <t>the flames beneath the surface</t>
  </si>
  <si>
    <t>New Jersey, USA</t>
  </si>
  <si>
    <t>New Orleans, Louisiana</t>
  </si>
  <si>
    <t xml:space="preserve">Portland, Oregon </t>
  </si>
  <si>
    <t>To heights undrempt of.</t>
  </si>
  <si>
    <t>I want to live on a farm</t>
  </si>
  <si>
    <t>idk</t>
  </si>
  <si>
    <t>Portland, Oregon  USA</t>
  </si>
  <si>
    <t xml:space="preserve">New York </t>
  </si>
  <si>
    <t>Thousand Oaks, California</t>
  </si>
  <si>
    <t>Keizer Oregon</t>
  </si>
  <si>
    <t>Clatskanie, OR</t>
  </si>
  <si>
    <t>Miami, FL</t>
  </si>
  <si>
    <t>Ontop of a Railcar in Portland</t>
  </si>
  <si>
    <t>In my cat tree</t>
  </si>
  <si>
    <t>Portland, OR since 1952</t>
  </si>
  <si>
    <t>The State of Oregon</t>
  </si>
  <si>
    <t>Gridley, CA</t>
  </si>
  <si>
    <t>WA-03</t>
  </si>
  <si>
    <t>Troutdale, OR</t>
  </si>
  <si>
    <t>Occupied Lenape Territory</t>
  </si>
  <si>
    <t>Keep Portland Weird</t>
  </si>
  <si>
    <t>Arizona, USA</t>
  </si>
  <si>
    <t xml:space="preserve">Chicago / Miami </t>
  </si>
  <si>
    <t>Portland, Oregon, USA</t>
  </si>
  <si>
    <t>mgmt: tyleroakley@select.co</t>
  </si>
  <si>
    <t>PDX</t>
  </si>
  <si>
    <t>Portland Oregon, from SF</t>
  </si>
  <si>
    <t>Skövde, Sweden</t>
  </si>
  <si>
    <t>Cobra Lair, Tx</t>
  </si>
  <si>
    <t>Seattle, WA</t>
  </si>
  <si>
    <t>News about Oregon government &amp; politics from Pamplin Media @ThePortlandTrib &amp; @EO_MediaGroup. #orpol #orleg</t>
  </si>
  <si>
    <t>“If you can’t be the poet, be the poem.”</t>
  </si>
  <si>
    <t>• compassion and confidence are the important things • adventure awaits • most wholesome • just asking questions or giving you something to think about • psyop</t>
  </si>
  <si>
    <t>Best portrait photographer on my block. Amateur photographer enjoying weird and cool places in Los Angeles county and beyond. DM me if you want to collab.</t>
  </si>
  <si>
    <t>(Fook Win) | Contributing Writer &amp; Storyteller - Portland Thorns and Timbers _xD83C__xDF39__xD83C__xDF32_️⚽️_xD83C__xDFBE_ @stumptownfooty @rosecityreview1 @WPSL #BAONPDX #NWSL #RCTID #MLS</t>
  </si>
  <si>
    <t>6'6 260 football/basketball</t>
  </si>
  <si>
    <t>Unveiling the darker side of society, one crime at a time _xD83D__xDCA5_ | Follow us for the most gripping videos _xD83D__xDE33_ | Viewer discretion is advised ⚠️ | DM for promo _xD83D__xDCB0_</t>
  </si>
  <si>
    <t>Retired Military Officer, former Political Advisor to NATO 3 Star General! Former Congressional Staffer, Wounded Warrior &amp; Iraq War Veteran! Stay Informed! _xD83C__xDDFA__xD83C__xDDF8_</t>
  </si>
  <si>
    <t>Mother Can We Trust The Government?</t>
  </si>
  <si>
    <t>Religion is the biggest blue pill ever.</t>
  </si>
  <si>
    <t>Speed/Strength Coach in Ottawa for https://t.co/Z2WwirL3h9, husband , father,  email me at info@razorsedgeperformance.ca</t>
  </si>
  <si>
    <t>Washington-based new technology adopter, wilderness explorer, and father. Single dad, boys age 25-29.</t>
  </si>
  <si>
    <t>Candidate for OR HD 37 _xD83D__xDC18_Republican Unity Caucus _xD83D__xDD25_ Civil Rights Leader _xD83C__xDDFA__xD83C__xDDF8_</t>
  </si>
  <si>
    <t>Christian and Mystic.</t>
  </si>
  <si>
    <t>#DiedSuddenly || Released November 21 2022</t>
  </si>
  <si>
    <t>join the SQUIDGROW community https://t.co/UVUwbNtvi6</t>
  </si>
  <si>
    <t>Baker / Army Vet / Trans Advocate / Foodie / College Grad / Hopeless Romantic / 2016 TEA Best Internet Personality / Retired Model missbeccabenz@yahoo.com</t>
  </si>
  <si>
    <t>America's #1 source for original Negro League/Black MLB content, 1900-1999. Historian, author &amp; speaker 44+ years. No brag just fact. https://t.co/OA2Q9Q5ENC</t>
  </si>
  <si>
    <t>POLITICS AND WORLD NEWS | My name is JC | He/him | 29 | Progressive, social-democrat, agnostic | Retweets &amp; links ≠ endorsements | https://t.co/t6pxxcmBQZ</t>
  </si>
  <si>
    <t>Proud father, proud American, and conservative Oregonian living in Portland.</t>
  </si>
  <si>
    <t>Once a jewel, Portland is in trouble. We put our thumb on politicians, discuss poor policies, and reveal what doesn't want exposed. - Jeff &amp; Angela</t>
  </si>
  <si>
    <t>National Team Leader | Icon Agent _xD83C__xDFC6_ | TOP 50 Broker in OR _xD83E__xDD47_| Make More _xD83D__xDCB8_ | 503-989-6123 | christopher.larsson@exprealty.com | _xD83D__xDC6B_ want to join eXp email me ⬆️</t>
  </si>
  <si>
    <t>I was asleep during my 20s, I woke up during Covid, God saved me out of the world. I am open to debate. Satisfied in Christ. Husband, Father.</t>
  </si>
  <si>
    <t>_xD83C__xDF32_CITIZEN of OREGON Not a government account. Just an Oregonian. _xD83D__xDE0A_</t>
  </si>
  <si>
    <t>Working class public intellectual. 46. One *consistent* MF-er! Host of @TheEclecticRad https://t.co/Z3dR4he18P</t>
  </si>
  <si>
    <t>she/her | _xD83C__xDDE7__xD83C__xDDF7_ immigrant | ☭ML | married | _xD83D__xDC76__xD83C__xDFFC_+_xD83D__xDC36_ 
 anti-imperialist | anti-fascist | anti-reactionary      _xD83C__xDF31_vegetarian
| cis is not a slur | DTA | _xD83E__xDEF6__xD83C__xDFFD__xD83C__xDDF5__xD83C__xDDF8_</t>
  </si>
  <si>
    <t>Our special blend of herbs, spices, harddrives, and motherboards</t>
  </si>
  <si>
    <t>Historian, Corrector of Records</t>
  </si>
  <si>
    <t>Hawaiian | Husband | Father of 4 | Pastor | Investor | Host of gLO Sessions™ Podcast _xD83D__xDC49__xD83C__xDFFD_ https://t.co/2shm7KnoyB | former VP marketing #eggdrp</t>
  </si>
  <si>
    <t>Dad. Husband. Outer Roses Podcast.  Engineer. Football supporter. #RCTID Timbers. Chelsea. England. Trail and Road Runner. Oregon History. Tacoma History</t>
  </si>
  <si>
    <t>Amateur iPhone Photographer #Blazers #RipCity #RipCityRemix #49ers</t>
  </si>
  <si>
    <t>_xD83D__xDCFB_: Host @1080thefan M-F Noon-3 @DannyAndDusty  
_xD83C__xDFA5_: https://t.co/nSzMvp8PAN 
_xD83C__xDFA7_: Host @JackedRamsays https://t.co/8LtnbrHz9n</t>
  </si>
  <si>
    <t>Sayla Hachey, P.O. Box 166 Waianae, HI 96792 _xD83C__xDF97_️</t>
  </si>
  <si>
    <t>Principal R.D.
Schmidt Architects PC
Adjunct Faculty, Portland Community College
Union Member</t>
  </si>
  <si>
    <t>He/his, late 20s, @unwinnable writer.
Too many RTs. Mostly movies, videogames &amp; the mariners, sometimes cars &amp; anime, along with our political hellscape</t>
  </si>
  <si>
    <t>Slanderous Clout Slut  | OW Drawing Styles | _xD83D__xDC33_ Twitch Partner _xD83D__xDC33_ | @ADVANCEDgg _xD83E__xDDDC_‍♀️ https://t.co/pCqE2b177A | Contact: emiliath@loadscreen.gg</t>
  </si>
  <si>
    <t>Come on in and see what’s happening…just remember it’s a grand illusion and deep inside we’re all the same. Retired Airline EA/DAL ✈️⛳️_xD83D__xDC3E__xD83D__xDCDA__xD83C__xDDFA__xD83C__xDDF8__xD83D__xDFE6_ #prochoice</t>
  </si>
  <si>
    <t>I write a newsletter breaking down the money and business behind sports to more than 120,000 people. Subscribe using the link below:</t>
  </si>
  <si>
    <t>Stand firm for justice</t>
  </si>
  <si>
    <t>Almost 30, guy.
Followed by @yehlog _xD83D__xDE01_</t>
  </si>
  <si>
    <t>was born in 1975, graduated with a USA High School Diploma (1993,) received an Associate of Art Degree (1995,) and has earned some Education credits since then.</t>
  </si>
  <si>
    <t>Broken but still a human Married and not looking. Opinionated peace loving hippie. _xD83C__xDDF0__xD83C__xDDFC__xD83C__xDFF3_️‍_xD83C__xDF08__xD83C__xDFF3_️‍⚧️ Not everyone's cup of tea but I am true to me.  _xD83D__xDEAB_DMs</t>
  </si>
  <si>
    <t>I'm just an ordinary guy teaching excellence. Veteran, Public Speaker, Author, and Founder of the Academy for Anti-Racism &amp; Social Change. Contact: link/BIO.</t>
  </si>
  <si>
    <t>Governor of Florida. Husband to @CaseyDeSantis. Father to Madison, Mason, and Mamie. Iraq Veteran.</t>
  </si>
  <si>
    <t>Official TEAM account of @RonDeSantis _xD83C__xDDFA__xD83C__xDDF8_ Text FREEDOM to 512345 for exclusive campaign updates.</t>
  </si>
  <si>
    <t>Woke: adjective; Alert to racial prejudice and discrimination ⬜️ #Blueless #80MillionStrong _xD83C__xDDFA__xD83C__xDDF8_ #DarkBrandon2024 Well Regulated Militia, #Trump20To24 187 IQ</t>
  </si>
  <si>
    <t>I was almost down to empty when the world looked mighty cold, then I heard you sing a simple song ~4ever in love with David Cassidy_xD83D__xDC99_ #survivor_xD83D__xDC9C_ #resist✌️_xD83C__xDF0A_</t>
  </si>
  <si>
    <t>#FreePalestine _xD83C__xDDE7__xD83C__xDDE6_</t>
  </si>
  <si>
    <t>Covering the NFL for @The33rdTeamFB. Follow for the best up-to-the-minute football coverage on _xD835__xDD4F_. Turning on notifications is highly recommended.</t>
  </si>
  <si>
    <t>8th gen native Oregonian fighting to keep Oregon from becoming California.</t>
  </si>
  <si>
    <t>Personal profile for Tootie Smith...community activist, 4th Gen Ore, author, business owner, elected official, wife and mother. Official profile @chairtootie</t>
  </si>
  <si>
    <t>They're telling you lies / Privation within their rhymes / Don't wait for god's embrace / Let's have a dinner without grace</t>
  </si>
  <si>
    <t>Father to son Tony and grandfather to my grandson Jack and grand daughter Payton. This is all that is important to me. That and free speech</t>
  </si>
  <si>
    <t>Breaking news &amp; features from The New York Post. Follow your favorite sections: @pagesix, @nypmetro, @nypostbiz, @nypostsports, @nypfashion, @nypostopinion</t>
  </si>
  <si>
    <t>The Best PDX Tweets-News, Art, Food, Music...</t>
  </si>
  <si>
    <t>High school XC &amp; T&amp;F coach, freelance writer covering college and elite track, distance running, and travel. Current contributor to SuperWestSports website.</t>
  </si>
  <si>
    <t>Oregon Ducks _xD83E__xDD86__xD83C__xDFC8__xD83C__xDFC0_⚾️_xD83E__xDD4E__xD83C__xDFD0_ beat reporter &amp; Pac-12 reporter for The @Oregonian _xD83D__xDCF0__xD83D__xDCBB_ | ✉️ jcrepea@oregonian.com</t>
  </si>
  <si>
    <t>Beer snob and part time Instagram model. “Fuck Trump, always.”</t>
  </si>
  <si>
    <t>World Champion Revenge Bedtime Procrastinator. Chronic illness. Chronic dork. Broke af. She/her. So, so tired.</t>
  </si>
  <si>
    <t>PhD. Fired from a postdoc/booted from academia for being disabled. Filed w/EEOC August 2021 — still waiting. Gamer. Gardener. Scientist. EDS. ADHD. CCI. _xD83C__xDFF3_️‍_xD83C__xDF08_</t>
  </si>
  <si>
    <t>Autist, gender neuchacho (they/them), bi, former homeless foster kid, poor, fat, activist, volunteer, parent, partner, justice seeker, human.</t>
  </si>
  <si>
    <t>Latina _xD83E__xDD13_ out of 8+ billion ppl. 99% animal retweets. I enjoy ☔,_xD83C__xDF6B_,☕,_xD83D__xDC3A_,_xD83D__xDC08_,_xD83C__xDF42_,❄️,_xD83C__xDFDE_️,_xD83D__xDCFA_,_xD83C__xDFB6_,_xD83C__xDFAE_, etc. Lousy video game streamer at https://t.co/hwA5i1Rn26</t>
  </si>
  <si>
    <t>Jaz  ▷◎═════00:00 ♪♪   I Follow Back ⚽_xD83C__xDFC8__xD83C__xDFC0_⚾ Stay Ready. Synchronicity &amp; Understanding It's Meaning.
_xD83D__xDEAB_Bullies  Justicia para todos.</t>
  </si>
  <si>
    <t>I watch movies. I collect headlines too. You can find me on YouTube with the same name.  A Proper Gander at News.</t>
  </si>
  <si>
    <t>April! She/her, queer/gay, polyam, white, ADHD, 44, ✝️. Icon is me and @Windows95C. Incapable of compartmentalizing so it's all here.</t>
  </si>
  <si>
    <t>ex-IFB bisexual writer who likes to talk about religious trauma, theology, sexuality, and pets | she/her _xD83D__xDC85_  Featured by @TODAYshow and @becreativemag_</t>
  </si>
  <si>
    <t>she/her, history buff, science nerd, EMT in pearls, volunteer, animal lover, fancy French fabric facilitator. #depression #anxiety #PMDD</t>
  </si>
  <si>
    <t>Am a 37 year old  who loves to #travel loves #Anime loves Turn Based #RPGS #gaming  is a #democrat voter Loves Computers and is  Tech optimistic,</t>
  </si>
  <si>
    <t>IFAPB born a patriot Die a patriot... patriot 4 life I'm a  TRUMP supporter 4 life NO DM NO PORN=BLOCK</t>
  </si>
  <si>
    <t>Landscape Photographer based in the Pacific Northwest | 100% photography</t>
  </si>
  <si>
    <t>Traveling _xD83E__xDDF3_ Hiking _xD83E__xDD7E_ Photography _xD83D__xDCF8_ Swimming _xD83E__xDDDC_‍♀️ All photos are mine except retweets _xD83C__xDF3A_</t>
  </si>
  <si>
    <t>Created a separate street photography account so I can stop bothering all the academics who don't want to see this stuff. Alternative account: @MGHToll</t>
  </si>
  <si>
    <t>We are independent, but we are interconnected by creativity. We create community platforms for creatives. Our purpose is to build maturity in the arts.</t>
  </si>
  <si>
    <t>Serving golf course superintendents in the NW Region, providing an exchange of information as it pertains to the golf industry.</t>
  </si>
  <si>
    <t>PE teacher | Bike Bus/Bike Bus &amp; Walking School Bus Specialist | UrbanArrow Influencer | Using Twitter to Improve Active Transportation for my Students</t>
  </si>
  <si>
    <t>Dad, runner, Chief Filibuster Antagonist. U.S. Senator from Oregon.</t>
  </si>
  <si>
    <t>ايت از وات ايت از</t>
  </si>
  <si>
    <t>I was born in the sign of water and it's there that I feel my best. The Albatross and the Whales they are my brothers..
~Cool Change~LRB...</t>
  </si>
  <si>
    <t>Journalist covering cities, climate, and energy. | Proprietor of Cold Eye Earth (formerly The Gregor Letter)</t>
  </si>
  <si>
    <t>control the WACC, control the world | thoughts on the energy transition</t>
  </si>
  <si>
    <t>Reality exists regardless of your existence. Life isn't safe. Risk helping others.</t>
  </si>
  <si>
    <t>#Oregon #Father #Independent #PacGreen #painter, #photographer #freemarket, #2A, #patriot Each State becomes-Nation--Counties into State--∆</t>
  </si>
  <si>
    <t>Real estate development</t>
  </si>
  <si>
    <t>Official Oregon Dept. of Transportation Twitter account. Monitored during business hours only. Road &amp; weather conditions 24/7, use https://t.co/JFOgsHrxum.</t>
  </si>
  <si>
    <t>Musician &amp; Abolitionist. Host of Songs that Shaped Me radio show. Lupus &amp; Neurodivergent. She/her.</t>
  </si>
  <si>
    <t>#Lupus Online Community - Chat: Sundays at 3PM ET - Next #LupusChat February 11th - Moderated by @TiffanyandLupus, @Xtel007, @CaringForLupus &amp; @Syncenerd_Carli</t>
  </si>
  <si>
    <t>The OHSU Brain Institute is among the top institutions in the nation for NIH-funded neuroscience research. #OHSUBrain #OHSUResearch</t>
  </si>
  <si>
    <t>This is no longer an active account. Please follow @Oregonian for Portland and Oregon news. We look forward to engaging with you there!</t>
  </si>
  <si>
    <t>The official Twitter account of the U.S. Department of Transportation.</t>
  </si>
  <si>
    <t>| Las Vegas Raiders ☠️☠️ | Houston Rockets  _xD83D__xDE80__xD83D__xDE80_ | Local 737 |  Raider Nation | Liftoff</t>
  </si>
  <si>
    <t>I animate &amp; stuff, often for that show about a horse, or the one about the birds... he/him</t>
  </si>
  <si>
    <t>Hi, I'm Jenna. _xD83D__xDDA4_ 35. Mom. More than a little obsessed with the galaxy far, far away. ✨ (she/her)</t>
  </si>
  <si>
    <t>Foot Doctor. Science is beautiful. Lebron is the goat. Christianity is an evil, unfounded, sick cult.</t>
  </si>
  <si>
    <t>I'm an indie filmmaker, photographer, Vegan Animal Rights activist, and Asexual! Living in the PDX area!</t>
  </si>
  <si>
    <t>↙️↙️↙️ _xD83E__xDD99__xD83C__xDF32_</t>
  </si>
  <si>
    <t>100% Real God Man. All tweets are righteous slander. (205) 255-9375: Leave a comment. pronouns. FSU. Not a parody. Gone Fishin'</t>
  </si>
  <si>
    <t>Entrepreneur | CEO | Life &amp; Business Mentor | RE Developer | Stock/Fx/Crpto tdr/invstr | tech dev &amp; Space Geek
Here for what matters _xD83E__xDEF6__xD83C__xDF0E_✨
IG @theeemissmolly</t>
  </si>
  <si>
    <t>im greg I like football and stocks and my birthday im from kentuckey. I'm a investor. I like to golf at the golf course @gregmultiverse • subscribe for $1 ⤴️</t>
  </si>
  <si>
    <t>Keyboardist in MEEEB  and Generator the Band. Lousy poet. Good friend to those who need it. A-hole to those that deserve it. Love my Dog. Empathy=02% remaining.</t>
  </si>
  <si>
    <t>420 Friendly_xD83C__xDF43_| Art Lover_xD83C__xDFA8_| Animal Lover_xD83D__xDC31_| I post A LOT❗️❗️
| Meme Maker_xD83D__xDCB0_| Pics for sale_xD83E__xDD33_| Sarcasm is my best friend |
https://t.co/46W8Czyy3u</t>
  </si>
  <si>
    <t>His account is for me to show off my Emma, she is a 1.5 year old Jackapoo who I rescued. She really did save my life!  And of course I have to harass MAGAS</t>
  </si>
  <si>
    <t>Congressman for #TX13 | Former White House Physician &amp; Retired Navy Rear Admiral | Texan, Veteran, Physician, Leader</t>
  </si>
  <si>
    <t>Moods are a temporary phenomenon that dissipates like the clouds, but you will suffer &amp; die during your journey, sometimes even sooner than you think _xD83D__xDCAD_.</t>
  </si>
  <si>
    <t>Do what’s right, decent and above all else, kind.</t>
  </si>
  <si>
    <t>HuffPost/NY Mag currentyashar@gmail.com Direct Messages Open Text/Call/Signal/Confide/WhatsApp: 310-795-2497. AGENTS: UTA</t>
  </si>
  <si>
    <t>#PNW born, raised, and proud _xD83D__xDC99__xD83C__xDF32__xD83D__xDC9A_
@W7ENK on #Mastodon_xD83D__xDC18_ #Spoutible_xD83D__xDC33_ #Post_xD83C__xDD7F_️
Elagu vaba Eesti!_xD83C__xDDEA__xD83C__xDDEA_
Слава Україні_xD83C__xDDFA__xD83C__xDDE6_
Fuck Elon Musk_xD83D__xDD95__xD83C__xDFFC_
NO DMs _xD83D__xDEAB_
NO Lists _xD83D__xDEAB_</t>
  </si>
  <si>
    <t>AMS Certified Meteorologist for Good Day Oregon @Fox12oregon | Student Pilot | Girl Dad</t>
  </si>
  <si>
    <t>Former host, @mehdihasanshow on @MSNBC &amp; NBC's @peacockTV. New York Times best-selling author. Order my book: https://t.co/qGY4mV7rN8</t>
  </si>
  <si>
    <t>⚓Navy Hospital Corpsman, Persian_xD83D__xDD4B_ Gulf War_xD83E__xDDE8_,Voted absentee_xD83D__xDDF3_off Iran, 1980,aboard x 3 yrs USS_xD83C__xDDFA__xD83C__xDDF8_ Eisenhower CVN-69,Op.Eagle Claw.Bi-Polar,PTSD_xD83E__xDD2F__xD83C__xDFF3_️‍_xD83C__xDF08_So GAY</t>
  </si>
  <si>
    <t>I could do a better bio ... But not right now. She/her, science, critters, MacGyver extraordinaire, also very tired. 
Now at: https://t.co/aJmLB5WPkX</t>
  </si>
  <si>
    <t>Zoologist. She/her. 22yrs with ME/CFS. Pro-vax but vaccine injured. Life on pause (views my own - unemployed) ♿️ https://t.co/YeMrEWwEg5</t>
  </si>
  <si>
    <t>Jesus follower, financial professional, MBA, sports fan, and proud American</t>
  </si>
  <si>
    <t>Exposing the lies, hypocrisy, and failed far-left policies of Joe Biden and the Democrat Party. Managed by the Republican National Committee.</t>
  </si>
  <si>
    <t>Co-Owner of Trending Politics | Investor | American _xD83C__xDDFA__xD83C__xDDF8_</t>
  </si>
  <si>
    <t>Breaking news, weather, entertainment and information for the Portland, Oregon area.
News tips: newsdesk@kgw.com or Text (503) 226-5088
#kgwnews #kgw</t>
  </si>
  <si>
    <t>I’m WOKE AF, a Navy Vet, a Dad, a Music _xD83C__xDFB6_ Lover, an Uncle, an Atheist, former IT Consultant, 420 &amp; coffee friendly, retired, got a cat. BLM_xD83C__xDDFA__xD83C__xDDF8_</t>
  </si>
  <si>
    <t>Commentary • Satirical Emeritus</t>
  </si>
  <si>
    <t>Hollywood Conservative, Love Connection Host, Back in Two and Two, Fisherman, Navy Vet, Political Activist. Host of Blunt Force Truth w/ @markyoungtruth</t>
  </si>
  <si>
    <t>Catholic,#Prolife,hunt,write ✝️Christian/country,family,artist,college football,rodeos. @GeorgeStrait tweeted me 1/20/2010 12:04 pm..I'm not worthy.</t>
  </si>
  <si>
    <t>is that a T-Mobile Internet Gateway? “No, it’s a dog camera”. Putin, count your men. _xD83C__xDDFA__xD83C__xDDE6_</t>
  </si>
  <si>
    <t>Our mission is to deliver the greatest possible impact to people through mRNA medicines.</t>
  </si>
  <si>
    <t>Author of Tell Your Children and Pandemia. Back and better than ever. For more information, sign up for my Substack at https://t.co/ZWNQLVYt6l</t>
  </si>
  <si>
    <t>You may know and/or followed me B4 - but that saga remains as banned as Alex Jones’s account! _xD83D__xDE35_‍_xD83D__xDCAB_</t>
  </si>
  <si>
    <t>Vaccines, infections and immunology</t>
  </si>
  <si>
    <t>Truth-teller, critical thinker, founder COVID-19 Early Treatment Fund (CETF). Vaccine Safety Research Foundation, entrepreneur, philanthropist, environmentalist</t>
  </si>
  <si>
    <t>✝️_xD83C__xDDEE__xD83C__xDDF1_Med student. Scientist. Father of 3. As seen on Tucker Carlson and in Newsweek. Views do not reflect those of colleagues. “Live not by lies.”-Solzhenitsyn</t>
  </si>
  <si>
    <t>I am a Jew against the terrorist state of Israel
أنا يهودي ضد دولة إسرائيل الإرهابية
אני יהודי נגד מדינת ישראל הטרוריסטית</t>
  </si>
  <si>
    <t>Syri, she/her. 48, queer, white, game designer, poet, witch, raccoon. Zines: Learning Curves, Fellowship, Trash Kingdom.
https://t.co/ZehhAino2C</t>
  </si>
  <si>
    <t>LA Native/Diehard Laker fan/Student of the Game of Bball/ Pro-Truth /Introvert/Self validated without requiring the approval of others.</t>
  </si>
  <si>
    <t>Love hoops _xD83C__xDFC8_ _xD83C__xDFC0_ #lakeshow</t>
  </si>
  <si>
    <t>#herewego #lakeshow</t>
  </si>
  <si>
    <t>goat</t>
  </si>
  <si>
    <t>father analyst /scout martial artist writes for https://t.co/BazMpxHvV3 &amp; https://t.co/ThjksORM5u co host mma ratings podcast basketball skill developer</t>
  </si>
  <si>
    <t>#NBA  | Travel &amp; HS Coach | Centennial Apaches Basketball |</t>
  </si>
  <si>
    <t>FOLLOW ME ON POST: https://t.co/zAaaooO31j AND THREADS: https://t.co/hDci375oDX</t>
  </si>
  <si>
    <t>Stand Up Philosopher, and Regular Joe 12 Pack. Former Army Combat Medic. #RESIST  Tyranny with every fiber of your being...#Portland #BidenHarris</t>
  </si>
  <si>
    <t>I’m _xD83D__xDE2F_#Prochoice - Worried about the future of USA -no creepy DMs_xD83D__xDE31_#OverturnCitizensUnited #Aspie #ResistFascism &amp; bullying.I FB _xD83C__xDF0A_ #VoteBlue #IStandWithIsrael</t>
  </si>
  <si>
    <t>Democratic strategist and consultant. Senior Advisor - @JulianCastro, @BoldProgressive, @LoseCruzPAC. Former Obama appointee.</t>
  </si>
  <si>
    <t>Stand-up Comic ♤ Event Hostess ♡ Voice Artist ♧ Civil Rights Advocate ◇ Horror Author ☆ Exhibitionist ♤ Boudoir @unpluggedxoxo #Troma #MutantFam #HorrorFam</t>
  </si>
  <si>
    <t>i'm just a human // 20 something // Snap: meggie_meg26 // Instagram: meggie.meg26 //Tiktok: meggie.meg26 // Threads: meggie.meg26 // hmu</t>
  </si>
  <si>
    <t>FREE PALESTINE.</t>
  </si>
  <si>
    <t>hi i’m anmol</t>
  </si>
  <si>
    <t>7th gen Oregonian, progressive, avid reader. Fmr CMA/Pharm Tech, LGBTQ+ ally❤suckers &amp; losers❤Hockey forever! #BLM #ResistGilead_xD83C__xDF0A_ _xD83D__xDEAB_MAGA/DM/Porn/Lists_xD83D__xDE20_</t>
  </si>
  <si>
    <t>_xD83D__xDC68__xD83C__xDFFD_‍_xD83D__xDCBB_Certified ExpressOffers Agent _xD83C__xDFE0_Real Estate Broker ⭐️5- Star Rated ✍_xD83C__xDFFD__xD83E__xDEF5__xD83C__xDFFD_Listing Specialist Interests:_xD83C__xDFCB__xD83C__xDFFD_Bodybuilding &amp; _xD83D__xDCDA_Reading _xD83D__xDCCD_WA &amp; OR State</t>
  </si>
  <si>
    <t>_xD83D__xDC9E__xD83E__xDD70_ IG: alexiis_lex ♍️ ♍️♍️</t>
  </si>
  <si>
    <t>Constitutional conservative,former logger ,Pure Blood, Military backer , Pro Life President Trump  Fan, China virus survivor Bible believer, NO CRYPTO</t>
  </si>
  <si>
    <t>Oglala Lakota —Enrolled at Pine Ridge, S.D. — “The earth sings her revolution, she calls brave men and women to her defense.” — The only easy day was yesterday.</t>
  </si>
  <si>
    <t>Talkin left-leaning politics and wrestling.  Husband and father of two.
https://t.co/440ZpWCp53</t>
  </si>
  <si>
    <t>#24, content creator (38K) — @wearevybe’s british #5 — @2K NEXTMAKER _xD83D__xDD7A__xD83C__xDFFB_ - IG: deonteddj #WWE2K24 #GTA6</t>
  </si>
  <si>
    <t>Satire. Rasslin.</t>
  </si>
  <si>
    <t>Neuroscientist: Spatial Navigation, Artist, Writer, Autistic, Basque, Falconer, Chronically ill, HS - #pwHS Trigeminal Neuralgia _xD83E__xDDE0__xD83D__xDD96__xD83C__xDFFC_♿_xD83C__xDF3B__xD83C__xDFF3_️‍_xD83C__xDF08__xD83E__xDD85_☸️⚛❄_xD83E__xDDBB_</t>
  </si>
  <si>
    <t>Joanna (she/her) 28 Queen of Allergies _xD83D__xDC51_ MCAS, POTS, &amp; EDS _xD83D__xDC9B_ Autistic, ADHD, OCD. Check out @allergybeauty for allergy friendly products!</t>
  </si>
  <si>
    <t>Writer of ninja women, cat-girls, and warrior-saints. Love is a religion. #一日一善 _xD83C__xDF3B_•☮️•_xD83C__xDF49_ _xD83C__xDC1B__xD83C__xDC1D__xD83C__xDC23_ He ㊚ Him #WidowsLegacy #TrinityConceptTerra #WrestingGranPrix</t>
  </si>
  <si>
    <t>ALEXIS, SHE/THEY, 24 | KIRYU LOVER EST. 2017 _xD83E__xDD0D_ | @TINYRYUU | https://t.co/BPD5pupZtx | BUSINESS _xD83D__xDCE7_→ cheriaki@yahoo.com</t>
  </si>
  <si>
    <t>Köln, BVB and most importantly Lansing Common FC!</t>
  </si>
  <si>
    <t>Retired lab analyst, music lover _xD83C__xDFBC_ _xD83C__xDFB6_ Golden Rule #BlueWave #Biden #Harris #BLM #Resist _xD83C__xDF0A__xD83C__xDF0A__xD83C__xDF0A__xD83C__xDDFA__xD83C__xDDE6__xD83C__xDDFA__xD83C__xDDE6_, abolish the Electoral College. #SaveDemocracy Vote!</t>
  </si>
  <si>
    <t>blaaaaaaaaaaaaaaaaaaaaaaaaaaaaaaaaaaaaaaaaaaaaaaaaaaaaaaaaaaaaaaaaaaaaaaaaaaaaaaaaaaaaaaaaaaaaaaaaaaaaaaaaaaaaaaaaaaaaank Header by AG Nonsuch</t>
  </si>
  <si>
    <t>Psalm 3:3 | Like Alfred in the marshes, it is never over</t>
  </si>
  <si>
    <t>Just subscribed to this Twitter page! It’s made for you if you like fighting | Dm for credit or removals</t>
  </si>
  <si>
    <t>Shaming politicians, celebrities, media on the regular. Remove Lawmakers  Not Fighting For #MedicareForAll #Reparations #EducationForAll #Peace #CeasefireNow</t>
  </si>
  <si>
    <t>_xD83D__xDC08__xD83C__xDF0E_ Married</t>
  </si>
  <si>
    <t>Peace, Love &amp; Popcorn! Left Leaning, Tree Hugging Liberal. Don't try &amp; change me, I like who I am. #TheResistance #ISupportWomen #TrumpLies #Army</t>
  </si>
  <si>
    <t>Mid-Valley born, idiot and moron. Proud Father, fat and happy Husband... PTFC supporter. Sheepdog. I am not your echo chamber.</t>
  </si>
  <si>
    <t>Dad x2, Hubs to the amazing @kelterrill, SRE/tech whisperer, guitar twanger, photographer, pet-lover. Always hungry. Spread love.</t>
  </si>
  <si>
    <t>CA born, OR at heart. jeremymcdonald73@gmail.com.Sports Writer in Salem, OR Area. SOU Grad. Parent to two Girls.  Owner-Reporter of https://t.co/kjpYS5dtBn</t>
  </si>
  <si>
    <t>Manager for @oitmbb , @oitsoftball, @oitwbb + Founder of @midmajormedia + @go_honks Assistant Coach. Sometimes reporting on Oregon State #GoBeavs</t>
  </si>
  <si>
    <t>The automobile has not merely taken over the street, it has dissolved the living tissue of the city.  Its appetite for space is absolutely insatiable - JM Fitch</t>
  </si>
  <si>
    <t>we are the grassroots campaign to stop @oregondot’s disastrous, polluting, billion-dollar freeway expansions. climate leaders don’t widen freeways. ❌_xD83D__xDEE3_❌</t>
  </si>
  <si>
    <t>_xD83D__xDDE3_ » #FinsUp | _xD83C__xDDEC__xD83C__xDDE7_ » @Dolphins_UK | _xD83C__xDDE7__xD83C__xDDF7_ » @Dolphins_BR | _xD83C__xDDEA__xD83C__xDDF8_ » @Dolphins_ESP | _xD83E__xDD1D_ » @FinsOffTheField | _xD83D__xDCE3_ » @dolphinscheer | _xD83D__xDEB2_ » @TackleCancer</t>
  </si>
  <si>
    <t>still #1 trimet type-1 LRV fan | θΔIt/it’s|23|Transloader|_xD83C__xDFF4_| pfp by @honeymoss_ Banner by @Mirsathia||Genocide supporters DNI</t>
  </si>
  <si>
    <t>Pfp βy @AnarchoTellyism║21║Anarcho Whatever✳Smash States║Fiance to the lovely @FAILUVR ║Trans Demiboy BiLesbian║#TrAntifa super soldier║ Proud Zippertit Cuntboy</t>
  </si>
  <si>
    <t>It's no fun being in third place.
Sworn enemy of potholes. I'm not under the influence,  I'm avoiding potholes.
Proudly banned by The Oregonian</t>
  </si>
  <si>
    <t>1/3 Constitutional offices created at statehood: includes the @OregonArchives @OregonAudits @OregonCorp @OregonElections 503-986-1500  oregon.sos@sos.oregon.gov</t>
  </si>
  <si>
    <t>Husband. Dad. Garage tinkerer. Thorn in the side of the privileged and powerful. U.S. Senator from Oregon. Official campaign account. Fighting for YOU. He/Him.</t>
  </si>
  <si>
    <t>Progressive Democrat proudly representing Oregon’s 3rd Congressional District. He/Him/His _xD83D__xDEB2_</t>
  </si>
  <si>
    <t>Representing Oregon's 1st District. Working to strengthen #PublicEducation, support #WorkingFamilies, &amp; #ActOnClimate. Proud mom of two grown kids. She/her.</t>
  </si>
  <si>
    <t>TV Host Fox News Channel 9 PM EST. Nationally Syndicated Radio Host 3-6 PM EST. https://t.co/0WmPPuxbkF Retweets, Follows NOT endorsements! Due to hackings, no DM’s!</t>
  </si>
  <si>
    <t>_xD83C__xDDFA__xD83C__xDDF8_ NUCLEAR MAGA MOM_xD83C__xDDFA__xD83C__xDDF8_   They Live is the best 80's movie ever! #conservative fb @scottbaio &amp; @DineshDSouza   _xD835__xDD44__xD835__xDD52__xD835__xDD58__xD835__xDD52__xD835__xDD44__xD835__xDD56__xD835__xDD5E__xD835__xDD56_ℚ_xD835__xDD66__xD835__xDD56__xD835__xDD56__xD835__xDD5F_ on Instagram_xD83D__xDC51__xD83D__xDC51_</t>
  </si>
  <si>
    <t>5th-generation Washingtonian, small business owner and pro-choice mother, representing #WA03 in Congress. @BlueDogBark co-chair. Working for Washington _xD83D__xDCAA__xD83C__xDF32__xD83D__xDD27_</t>
  </si>
  <si>
    <t>#USArmy Vet _xD83C__xDDFA__xD83C__xDDF8_#USA_xD83E__xDDD8_ IF we are still the land of the free…it is only due to the home of the BRAVE!  TOGETHER WE STAND _xD83D__xDCAF_</t>
  </si>
  <si>
    <t>Purdue | @/JamesGetsPolitical on TikTok | #FreePalestine_xD83C__xDDF5__xD83C__xDDF8_ | Marxist Anti-Imperialist | Currently Reading: The Balfour Declaration</t>
  </si>
  <si>
    <t>akaSAM Liberal/ environmentalist/ Equality 4All/ return morality &amp; ethics to politics / people over profits/ recycle/Followed by BDD &amp; Dr Cole McKinnon_xD83D__xDE04__xD83C__xDF08_</t>
  </si>
  <si>
    <t>Follow me to Post News: @ lindad10553 Spoutible: @ Linda_D #Democrat #VoteBlue #Liberal #Resistance NO MAGA NO DM NO LIST</t>
  </si>
  <si>
    <t>_xD83E__xDE77_ Realist _xD83D__xDC9C_ INTJ ❤️ Indy _xD83E__xDDE1_ Agnostic _xD83D__xDC9B_ Anti-fascism/MAGA _xD83E__xDE75_ Pro-Choice _xD83D__xDC9A_ Gun Regs _xD83E__xDE76_ *Golden Rule* _xD83E__xDE77_ _xD83D__xDC36__xD83D__xDC36__xD83D__xDC36__xD83D__xDC36_ _xD83D__xDC9C_ ❤️  _xD83C__xDDFA__xD83C__xDDE6__xD83C__xDFF3_️‍⚧️_xD83C__xDFF3_️‍_xD83C__xDF08_ _xD83E__xDDE1_ VOTE _xD83D__xDC99_! Bsky* _xD83E__xDE75_</t>
  </si>
  <si>
    <t>The Cyber Athlete business email Ac7ionMan@gmail.com USE CODE AC7 ON STAKE FOR DAILY_xD83D__xDCB0_ https://t.co/24lxtWfNvx @stakeusa https://t.co/VIscRiE0Es</t>
  </si>
  <si>
    <t>Portland Business Journal. Business news, research and events in the Rose City. Hit us up: portlandatbizjournalsdotcom.</t>
  </si>
  <si>
    <t>News updates from the #1 news source in the Pacific NW. See it all at https://t.co/ToPnEy6ueV. Find reporter and more accounts in our lists.</t>
  </si>
  <si>
    <t>Starting to think Reddit is better than this cesspool</t>
  </si>
  <si>
    <t>@cargilltenants @DSACommunists @connecticutdsa</t>
  </si>
  <si>
    <t>I draw stuff sometimes. Been writing stuff too.</t>
  </si>
  <si>
    <t>host of https://t.co/1hLgLfYgM9 - live Su, Tu, W, Fr / cohost of “psychobabble” - a weekly pop culture podcast (he/him)</t>
  </si>
  <si>
    <t>Blue state dissident. Wrongthinker. Photographer/journo. Baker of pastries. Western Way of Life. Not caving to your groupthink. Anti-Communist.</t>
  </si>
  <si>
    <t>"Call it democracy, or call it democratic socialism, but there must be a better distribution of wealth within this country..." ~Martin Luther King Jr.</t>
  </si>
  <si>
    <t>_xD83C__xDDE7__xD83C__xDDF8__xD83C__xDDF3__xD83C__xDDEC_Movement Lawyer + Political Commentator. subscribe to Olurinatti on YouTube and substack</t>
  </si>
  <si>
    <t>Used to Twitter cosplay as Ensign Pulver. I like photography, kayaking, skiing, geocaching, woodworking and sometimes golf. Views my own.</t>
  </si>
  <si>
    <t>Sicilian •_xD83D__xDC36_ Daisy• RCTID •_xD83D__xDCCD_ PDX born•_xD83C__xDFE5_ life•Gym•Podcast co-creator•_xD83D__xDC8C_•Smile contest winner when I was 7_xD83E__xDD47_ Not an expert proof reader• _xD83D__xDCF8_/_xD83D__xDCB0_$Emazingpnw</t>
  </si>
  <si>
    <t>First, live, local news in Northwest Oregon and Southwest Washington. Watch: https://t.co/noYS4udjOQ #fox12oregon</t>
  </si>
  <si>
    <t>@Fox12Oregon Anchor/Reporter | UC Berkeley Alum | Wife &amp; Mom | SoCal native |_xD83C__xDDEA__xD83C__xDDF8__xD83C__xDDF5__xD83C__xDDED_</t>
  </si>
  <si>
    <t>Occupational Therapist, Delegation Chair, Oregon Third Congressional District</t>
  </si>
  <si>
    <t>I don't want to share my bio</t>
  </si>
  <si>
    <t>Writer @nytopinion and columnist @NYTmag. Newsletter on climate and the messy future (https://t.co/CPCd2nw3Kx). Author of The Uninhabitable Earth.</t>
  </si>
  <si>
    <t>Climbing the mountain</t>
  </si>
  <si>
    <t>If you care about your kids you carry a gun with you at all times to protect them.  Do your part and get trained, carry a gun, unless you just don't care.</t>
  </si>
  <si>
    <t>Local news, sports, business, politics, entertainment, travel, restaurants and opinion for Seattle and the Pacific Northwest. Subscribe here: https://t.co/GYVl7xKPYg</t>
  </si>
  <si>
    <t>super lesbian, anime watcher, gamer, and parent...fuck woke fuck cancel culture. and fuck censorship. sting it all to death.</t>
  </si>
  <si>
    <t>Traveler, entrepreneur, venture capitalist, and a very solid independent.</t>
  </si>
  <si>
    <t>Freelance journalist, independent writer and editor, writing coach. Cat granddad. Hoping to be dog dad again.</t>
  </si>
  <si>
    <t>stumptownfooty.substack.com</t>
  </si>
  <si>
    <t>razorsedgeperformance.ca</t>
  </si>
  <si>
    <t>facebook.com/cmpaugh</t>
  </si>
  <si>
    <t>benedtl.com</t>
  </si>
  <si>
    <t>diedsuddenly.info</t>
  </si>
  <si>
    <t>NLBalive.com</t>
  </si>
  <si>
    <t>facebook.com/ProgressiveGlo…</t>
  </si>
  <si>
    <t>pdxrealmedia.com</t>
  </si>
  <si>
    <t>linktr.ee/larssonrealtor</t>
  </si>
  <si>
    <t>campsite.bio/oregoncitizen</t>
  </si>
  <si>
    <t>patreon.com/eclecticradical</t>
  </si>
  <si>
    <t>darealglo.com</t>
  </si>
  <si>
    <t>linktr.ee/jackedramsays</t>
  </si>
  <si>
    <t>pi-des.org</t>
  </si>
  <si>
    <t>twitch.tv/emiliath</t>
  </si>
  <si>
    <t>threads.net</t>
  </si>
  <si>
    <t>huddleup.substack.com</t>
  </si>
  <si>
    <t>docs.google.com/document/d/1j_…</t>
  </si>
  <si>
    <t>poplme.co/kennyakers</t>
  </si>
  <si>
    <t>rondesantis.com</t>
  </si>
  <si>
    <t>senate.gov</t>
  </si>
  <si>
    <t>instagram.com/ismailkljucani…</t>
  </si>
  <si>
    <t>the33rdteam.com</t>
  </si>
  <si>
    <t>tootiesmith.com</t>
  </si>
  <si>
    <t>BreakingPDXNews.com</t>
  </si>
  <si>
    <t>steveritchieontrack.com</t>
  </si>
  <si>
    <t>oregonlive.com/ducks/</t>
  </si>
  <si>
    <t>amazon.com/hz/wishlist/ls…</t>
  </si>
  <si>
    <t>linktr.ee/Fyremelon</t>
  </si>
  <si>
    <t>ministryoftrutharchive.com</t>
  </si>
  <si>
    <t>linktr.ee/chrisfairley</t>
  </si>
  <si>
    <t>instagram.com/mathew_toll/</t>
  </si>
  <si>
    <t>photos.suhlabs.com</t>
  </si>
  <si>
    <t>gcsaa.org/resources/regi…</t>
  </si>
  <si>
    <t>linktr.ee/coachbalto</t>
  </si>
  <si>
    <t>merkley.senate.gov</t>
  </si>
  <si>
    <t>coldeye.earth</t>
  </si>
  <si>
    <t>redbuckman.substack.com</t>
  </si>
  <si>
    <t>maxbelousov.gg</t>
  </si>
  <si>
    <t>oregon.gov/ODOT</t>
  </si>
  <si>
    <t>sweetfreeze.bandcamp.com</t>
  </si>
  <si>
    <t>lupuschat.org</t>
  </si>
  <si>
    <t>ohsubrain.com</t>
  </si>
  <si>
    <t>transportation.gov</t>
  </si>
  <si>
    <t>kissmyass.com</t>
  </si>
  <si>
    <t>keith-holven.com</t>
  </si>
  <si>
    <t>youtube.com/channel/UCNKw8…</t>
  </si>
  <si>
    <t>wishtender.com/weeders</t>
  </si>
  <si>
    <t>ronnyjacksontx.com</t>
  </si>
  <si>
    <t>thereset.news/subscribe</t>
  </si>
  <si>
    <t>kptv.com/podcasts/weath…</t>
  </si>
  <si>
    <t>facebook.com/mrmehdihasan</t>
  </si>
  <si>
    <t>gop.com/rapid-response</t>
  </si>
  <si>
    <t>trendingpoliticsnews.com</t>
  </si>
  <si>
    <t>bluntforcetruth.com</t>
  </si>
  <si>
    <t>modernatx.com</t>
  </si>
  <si>
    <t>alexberenson.com</t>
  </si>
  <si>
    <t>under-the-rainbow.no</t>
  </si>
  <si>
    <t>stevekirsch.substack.com</t>
  </si>
  <si>
    <t>kevinbass.substack.com</t>
  </si>
  <si>
    <t>syringav.itch.io</t>
  </si>
  <si>
    <t>youtube.com/channel/UC4GhL…</t>
  </si>
  <si>
    <t>muellershewrote.com</t>
  </si>
  <si>
    <t>linktr.ee/Vanhopecomedy</t>
  </si>
  <si>
    <t>curiouscat.live/meggie_meg27</t>
  </si>
  <si>
    <t>instagram.com/thepolaricecap</t>
  </si>
  <si>
    <t>meetpetertaylor.com</t>
  </si>
  <si>
    <t>instagram.com/lakota_man/?hl…</t>
  </si>
  <si>
    <t>linktr.ee/deonteddj?utm_…</t>
  </si>
  <si>
    <t>linktr.ee/hannahcrazyhawk</t>
  </si>
  <si>
    <t>joannanobanana.com/product/when-t…</t>
  </si>
  <si>
    <t>youtube.com/channel/UCGGjk…</t>
  </si>
  <si>
    <t>kiryussideburns.com</t>
  </si>
  <si>
    <t>wadeturnbull.wordpress.com</t>
  </si>
  <si>
    <t>rayterrill.com</t>
  </si>
  <si>
    <t>jmcdonaldmedia.com</t>
  </si>
  <si>
    <t>mstdn.social/@pdxblake</t>
  </si>
  <si>
    <t>nomorefreewayspdx.com</t>
  </si>
  <si>
    <t>miamidolphins.com</t>
  </si>
  <si>
    <t>discord.com/invite/rzBwYt9…</t>
  </si>
  <si>
    <t>sos.oregon.gov</t>
  </si>
  <si>
    <t>JeffMerkley.com</t>
  </si>
  <si>
    <t>earlblumenauer.com</t>
  </si>
  <si>
    <t>bonamici.house.gov</t>
  </si>
  <si>
    <t>TuckerCarlson.com</t>
  </si>
  <si>
    <t>hannity.com</t>
  </si>
  <si>
    <t>marieforcongress.com</t>
  </si>
  <si>
    <t>youtube.com/@JamesGetsPoli…</t>
  </si>
  <si>
    <t>twitter.com/i/communities/…</t>
  </si>
  <si>
    <t>kick.com/brandonfarley</t>
  </si>
  <si>
    <t>kick.com/ac7ionman</t>
  </si>
  <si>
    <t>portlandbusinessjournal.com</t>
  </si>
  <si>
    <t>cargilltenantsunion.org</t>
  </si>
  <si>
    <t>spartydragon.deviantart.com</t>
  </si>
  <si>
    <t>linktr.ee/tyleroakley</t>
  </si>
  <si>
    <t>instgram.com/kenwelcome</t>
  </si>
  <si>
    <t>youtube.com/@olurinatti</t>
  </si>
  <si>
    <t>linktr.ee/fox12oregon</t>
  </si>
  <si>
    <t>facebook.com/Mia-Villanueva…</t>
  </si>
  <si>
    <t>nytimes.com/newsletters/da…</t>
  </si>
  <si>
    <t>SeattleTimes.com</t>
  </si>
  <si>
    <t>oregoncapitalinsider.com/capital_chatte…</t>
  </si>
  <si>
    <t>https://t.co/nSzMvp8PAN https://t.co/8LtnbrHz9n</t>
  </si>
  <si>
    <t>https://t.co/BazMpxHvV3 https://t.co/ThjksORM5u</t>
  </si>
  <si>
    <t>https://t.co/zAaaooO31j https://t.co/hDci375oDX</t>
  </si>
  <si>
    <t>https://t.co/24lxtWfNvx https://t.co/VIscRiE0Es</t>
  </si>
  <si>
    <t>http://youtube.com/DannyMarang http://patreon.com/JackedRamsays</t>
  </si>
  <si>
    <t>http://mmaratings.net http://severemma.com</t>
  </si>
  <si>
    <t>https://post.news/@/MuellerSheWrote https://www.threads.net/@muellershewrote</t>
  </si>
  <si>
    <t>http://stake.us http://Instagram.com/Ac7ionman</t>
  </si>
  <si>
    <t>Razorsedgeperformance.ca</t>
  </si>
  <si>
    <t>t.me/SquidGrowPorta…</t>
  </si>
  <si>
    <t>vimeo.com/286077719</t>
  </si>
  <si>
    <t>progressive-globe.tumblr.com</t>
  </si>
  <si>
    <t>youtube.com/@eclecticradic…</t>
  </si>
  <si>
    <t>shorturl.at/diLTX</t>
  </si>
  <si>
    <t>youtube.com/DannyMarang patreon.com/JackedRamsays</t>
  </si>
  <si>
    <t>linktr.ee/emiliath</t>
  </si>
  <si>
    <t>twitch.tv/fyrelemon</t>
  </si>
  <si>
    <t>TripCheck.com</t>
  </si>
  <si>
    <t>paypal.me/saramesservey1</t>
  </si>
  <si>
    <t>amzn.to/3ITUR9Y</t>
  </si>
  <si>
    <t>PardonMyPain.bsky.social</t>
  </si>
  <si>
    <t>naomidharvey.bsky.social</t>
  </si>
  <si>
    <t>alexberenson.substack.com</t>
  </si>
  <si>
    <t>mmaratings.net severemma.com</t>
  </si>
  <si>
    <t>post.news/@/MuellerSheWr… threads.net/@muellershewro…</t>
  </si>
  <si>
    <t>spoti.fi/3Qaw81P</t>
  </si>
  <si>
    <t>twitch.tv/portlandisburn…</t>
  </si>
  <si>
    <t>patreon.com/kiryussideburns</t>
  </si>
  <si>
    <t>Hannity.com</t>
  </si>
  <si>
    <t>stake.us Instagram.com/Ac7ionman</t>
  </si>
  <si>
    <t>twitch.tv/tyleroakley</t>
  </si>
  <si>
    <t>kptv.com/live/</t>
  </si>
  <si>
    <t>tinyurl.com/dwwnyt</t>
  </si>
  <si>
    <t>st.news/subscribe</t>
  </si>
  <si>
    <t>none</t>
  </si>
  <si>
    <t>regular</t>
  </si>
  <si>
    <t>Open Twitter Page for This Person</t>
  </si>
  <si>
    <t xml:space="preserve">orcapitalbureau
</t>
  </si>
  <si>
    <t>2020insofewways
@DecayingLA @chase_the_high Looking
at history long before computers
or AI, you see the death toll trending
data from the crusades. https://t.co/ml66bgk1Rv</t>
  </si>
  <si>
    <t xml:space="preserve">chase_the_high
</t>
  </si>
  <si>
    <t xml:space="preserve">decayingla
</t>
  </si>
  <si>
    <t>phuocerman
SC: "Obviously we love this environment
(Providence Park), but the turf
does take a toll, you know." "The
new ownership has come in, been
really vocal &amp;amp; adamant about
that being a priority and they're
getting things done which is amazing
to hear and be a part of." #BAONPDX</t>
  </si>
  <si>
    <t>kibongerawlins
@kennedyk24 @okron8 @AA_Ronneous
@CaptCoronado @bestwildclips A
lot fam people get drunk and accidentally
kill people all the time. Look
at the death toll in boxing a combat
sport with actual medical staff
on site.</t>
  </si>
  <si>
    <t xml:space="preserve">bestwildclips
</t>
  </si>
  <si>
    <t xml:space="preserve">captcoronado
</t>
  </si>
  <si>
    <t xml:space="preserve">aa_ronneous
</t>
  </si>
  <si>
    <t xml:space="preserve">okron8
</t>
  </si>
  <si>
    <t xml:space="preserve">kennedyk24
</t>
  </si>
  <si>
    <t>cmpaugh
@benedtl Toll roads and congestion
fees are about keeping the lower-and-middle
classes off the streets so the
wealthy have shorter commute times.</t>
  </si>
  <si>
    <t>benedtl
The tax program where the majority
of the money collected pays for
the administration of the collecting.
This toll program has to be stopped.</t>
  </si>
  <si>
    <t>byronstine
@Barry317446 @DiedSuddenly_ Yes.
There are some doctors who gave
a timeframe of 3 to 5 years where
we will see a massive aggregate
death toll rise because of a certain
new "therapeutic." We’re at about
that timeframe. One doctor I saw
speak said he did the math and
he's seeing the numbers rise already.</t>
  </si>
  <si>
    <t xml:space="preserve">diedsuddenly_
</t>
  </si>
  <si>
    <t xml:space="preserve">barry317446
</t>
  </si>
  <si>
    <t>missbeccabenz
@NegroLeagueMan I'm always struck
by how much he aged during the
ten years he played for the Dodgers,
which shows the tremendous toll
those years took on him. I can't
imagine the mental strength and
discipline it took for him to not
retaliate against the racism he
dealt with every day.</t>
  </si>
  <si>
    <t xml:space="preserve">negroleagueman
</t>
  </si>
  <si>
    <t>progressglobe
Death toll in Gaza surpasses 25,000
as Israel steps up attacks https://t.co/NFD5HRQOQc</t>
  </si>
  <si>
    <t>2a_allday
This state and city love taxing
people to death. Next they should
add a toll so you have to pay a
toll to use drugs freely in public
downtown.</t>
  </si>
  <si>
    <t>pdxreal1
Oregon State Highway tolls are
in the works, and we believe citizens
should have a say in a statewide
vote. We need your help collecting
signatures to have that right.
Visit https://t.co/NSanWeh3Nf and
gather signatures including your
own. https://t.co/khSd6iCQEV</t>
  </si>
  <si>
    <t>larssonrealtor
Being a real estate professional
isn’t an easy career. Late night
long days and working 7 days a
week takes a toll, but if you love
your client’s and deal-making its
well worth it _xD83D__xDE4C_ #realtor #realtorlife
#RealEstate #realestateagent #exprealty
#mrexp #grinding https://t.co/StZl8Mf9Wn</t>
  </si>
  <si>
    <t>tradedebater
@oregoncitizen_ Well they are offering
16k a month for a Lead person on
setting up the toll roads.</t>
  </si>
  <si>
    <t>oregoncitizen_
❗️Hey Oregon friends! While we
keep saying NO TO TOLLS they are
advertising the TOLL admin position.
Check out this wages. Did you know
that the majority of the money
they propose we pay in tolls will
not even pay for roads? It will
go to admin! (Tap the photo to
see the…</t>
  </si>
  <si>
    <t>eclecticradical
@jakeguyco @tek_sauce @mrs_socialista
Now do the American regime's death
toll in Syria, and those of their
ISIS and al-Nusra allies.</t>
  </si>
  <si>
    <t xml:space="preserve">mrs_socialista
</t>
  </si>
  <si>
    <t xml:space="preserve">tek_sauce
</t>
  </si>
  <si>
    <t xml:space="preserve">jakeguyco
</t>
  </si>
  <si>
    <t>darealgreglopez
75 BILLION DOLLARS. _xD83D__xDE21__xD83D__xDE21__xD83D__xDE21__xD83D__xDE21__xD83D__xDE21__xD83D__xDE21__xD83D__xDE21__xD83D__xDE21__xD83D__xDE21_
We have people in need in Maui
Death toll is currently 80 and
rising (they have yet to clear
homes) I drove by massive homeless
communities in Portland tonight.
Our HOUSE is not in order. We need
to get our house in order before
we fix… https://t.co/QgciUgeU3P</t>
  </si>
  <si>
    <t>aaronpoole85
A slew of injuries and poor offseason
roster management has had a toll
on the team's league performance
and a disappointing exit at home
to RSL in the Open Cup relatively
early. The team had a transfer
window and getting everyone healthy
again it felt the stars may align</t>
  </si>
  <si>
    <t>1markcoker
Listing to a number of PODs on
the Blazers. You all are being
to critical of the team that’s
not played together all season.
I mean for more than 5 games in
a row with the same starting 5.
Losing games takes a toll on the
players. Is the coach the issues
yes, but not the reason…</t>
  </si>
  <si>
    <t xml:space="preserve">dannymarang
</t>
  </si>
  <si>
    <t>saylahachey
What is the mental toll of cancer
on a patient?</t>
  </si>
  <si>
    <t>dc_us
5 "The pandemic's true death toll".
The Economist. 6 Ritchie, Hannah;
Mathieu, Edouard; Rodés-Guirao,
Lucas; Appel, Cameron; Giattino,
Charlie; Ortiz-Ospina, Esteban;
Hasell, Joe; Macdonald, Bobbie;
Beltekian, Diana; Roser, Max (5
Mar 2020). "Coronavirus Pandemic
(COVID-19)".</t>
  </si>
  <si>
    <t>dennisthatsit
Years ago, I remember reading the
account of a wife of a game developer
who had to move around from studio
to studio on a biannual basis,
and the toll it took on them and
their kids... There's no excuse
for this industry to not primarily
be work from home.</t>
  </si>
  <si>
    <t>em1liath
Blizzard telling people they can
no longer work from home and forcing
them to move to California, to
one of the most expensive areas
in the US, just to lay them off
is really the epitome of corporate
evil</t>
  </si>
  <si>
    <t>glorianelson
@JoePompliano That’s pretty cool!
I’d like to roll out my back yard
and toll in some new fresh grass
with no brown spots!</t>
  </si>
  <si>
    <t xml:space="preserve">joepompliano
</t>
  </si>
  <si>
    <t>tina67536990
@IntM_student @endofracism You
find statistics IF YOU WANT yourself.
About 130,000 had to evacuate when
Trump abandoned them. I don't know
the death toll. Just saying....you
think Biden is bad. Trump is worse.
Look at Trump backing Saudis in
Yemen. https://t.co/t0Tcwku7i2
https://t.co/VMWJZfPUWv</t>
  </si>
  <si>
    <t xml:space="preserve">endofracism
</t>
  </si>
  <si>
    <t xml:space="preserve">intm_student
</t>
  </si>
  <si>
    <t>rls2231404958
Dear Middle Class Citizens, Please
enjoy this #spoileralert and keep
calm and carry on with your head
in the sand because the SEC is
DEFINITELY NOT approving #bitcoin
a.k.a. #WorldEconomicForum #depopulation
toll/tool dujour. https://t.co/o1Tyi0gCJy</t>
  </si>
  <si>
    <t>jennife39481653
US rejects ceasefire call as Gaza
death toll jumps #JoeBidenIsAWarCriminal
The United States Is An Apartheid
State https://t.co/ReGnMChp19</t>
  </si>
  <si>
    <t xml:space="preserve">keneakers
</t>
  </si>
  <si>
    <t>khazeni
@MillieMinet @MadeInTheUSANJ @TeamDeSantis
@RonDeSantis Like $21 Billion surplus,
he engaged in recovery efforts
after Hurricane Ian and Hurricane
Nicole. Cut sales tax for children
items. Cut toll fees to half. Unemployment
at 2.6%. One of the lowest in the
nation. Is this a good start for
you?</t>
  </si>
  <si>
    <t xml:space="preserve">rondesantis
</t>
  </si>
  <si>
    <t xml:space="preserve">teamdesantis
</t>
  </si>
  <si>
    <t xml:space="preserve">madeintheusanj
</t>
  </si>
  <si>
    <t xml:space="preserve">millieminet
</t>
  </si>
  <si>
    <t>izi_kljucanin
I can’t believe how uneducated
people are on the monstrosities
Israel has done to Palestine as
well as the contributions they’ve
done to evil. Is he going to google
the death toll of Palestinians
or the amount of bombs dropped
on Gaza?</t>
  </si>
  <si>
    <t>mysportsupdate
After answering just one question,
#Dolphins QB Tua paused his postgame
press conference to discuss the
difficult situation in Israel and
bring attention to all the terrorist
attacks by Hamas. "I didn't really
realize how bad things were in
Israel..." (via @MiamiDolphins)
https://t.co/M13rad8Xzu</t>
  </si>
  <si>
    <t>sfmission2
@lecheconcoffee @SmithTootie @oregoncitizen_
Bridge toll money will be diverted
to subsidizing EV's in Oregon for
upper income people</t>
  </si>
  <si>
    <t xml:space="preserve">lecheconcoffee
</t>
  </si>
  <si>
    <t>smithtootie
Citizens have made it clear that
they do not want tolling, and that's
why I support IP -4, the initiative
that requires a citizens' vote
before ODOT can put a toll in place.
https://t.co/fvgp0ydOVu https://t.co/ROn6aknS5U</t>
  </si>
  <si>
    <t>samfacto
The toll booth scene in the godfather
but they’re just breaking tons
of spaghetti at Sonny</t>
  </si>
  <si>
    <t>robertjkingsbu1
Israel says 24 troops killed in
Gaza fighting, country's highest
single-day toll during war https://t.co/cTnkm17QDk
via @nypost</t>
  </si>
  <si>
    <t xml:space="preserve">nypost
</t>
  </si>
  <si>
    <t>breakingpdxnews
PacificCorp hit with another multimillion
dollar wildfire judgment: Oregon
wildfire toll continues to rise
for the utility owned by Warren
Buffett's Berkshire Hathaway. https://t.co/QDyWtxl4yT</t>
  </si>
  <si>
    <t>ritchieontrack
@Thavyxay @JamesCrepea Might be
time for prime to lessen the hype.
It does take a toll on his team
like you said.</t>
  </si>
  <si>
    <t xml:space="preserve">jamescrepea
</t>
  </si>
  <si>
    <t xml:space="preserve">thavyxay
</t>
  </si>
  <si>
    <t>seenadsgo
@galena_white @DisabledDoctor It’s
exhausting &amp;amp; demoralizing to
constantly have to fight for &amp;amp;
justify your basic needs to strangers
everywhere you go while also in
pain &amp;amp; trying to do whatever
you’re out doing. Its not only
exhausting in the moment but takes
a cumulative toll. Like a repetitive
stress injury</t>
  </si>
  <si>
    <t xml:space="preserve">disableddoctor
</t>
  </si>
  <si>
    <t xml:space="preserve">galena_white
</t>
  </si>
  <si>
    <t>zerocharisma
@Jazzie654 Drivers need to have
the toll ready to pay when passing
through instead of holding up traffic!
_xD83D__xDE9A_ _xD83D__xDC18_ _xD83D__xDE05_</t>
  </si>
  <si>
    <t xml:space="preserve">jazzie654
</t>
  </si>
  <si>
    <t>minitruearchive
China will contain ‘demon’ outbreak,
Xi says as death toll mounts —
January 28, 2020: South China Morning
Post https://t.co/62fXJLxhOj</t>
  </si>
  <si>
    <t>on_bicycle
@cardiwithpearls @CarissasNewLife
I am 44. I get mistaken for younger,
but the fact is that facial expressions
and gravity eventually take their
toll on us all. Hell, I recently
realized the lines in one part
of my face are from always sleeping
on my right side.</t>
  </si>
  <si>
    <t xml:space="preserve">carissasnewlife
</t>
  </si>
  <si>
    <t xml:space="preserve">cardiwithpearls
</t>
  </si>
  <si>
    <t>kythrawowalls
All of the EU’s efforts to create
competition in the digital markets
will be for nothing. And Apple
gets to send a clear signal: If
you interrupt our toll-booth operation,
we’ll make you regret it, and we’ll
make you pay. Don’t resist, just
let it be.</t>
  </si>
  <si>
    <t>davidtaple90421
_xD83D__xDEA8_ BREAKING NEWS _xD83D__xDEA8_ DEATH TOLL
RISES TO 14 DEAD AMERICANS..SINCE
WE LOST AMERICANS WE HAVE THE RIGHT
TO TAKE THEM OUT AS WELL</t>
  </si>
  <si>
    <t>fairleyphoto
@Suhlabs @toll_mathew @SlavomiraVac2
@lens_tales Mine is number 1, I
vote for number 2.</t>
  </si>
  <si>
    <t xml:space="preserve">slavomiravac2
</t>
  </si>
  <si>
    <t xml:space="preserve">toll_mathew
</t>
  </si>
  <si>
    <t xml:space="preserve">suhlabs
</t>
  </si>
  <si>
    <t>gcsaa_nw
Who do you go to when your job
starts taking a toll? One of my
NW Chapters is taking a proactive
step. https://t.co/UclvboeOkI #MentalHealthSupport
https://t.co/4dG2zLRaQs</t>
  </si>
  <si>
    <t>coachbalto
Really not sure how this is a game
changer for Oregonians. People
from Washington use the bridge
much more. Oregonians are subsidizing
driving for people from Washington.
Toll the bridge.</t>
  </si>
  <si>
    <t>senjeffmerkley
HUGE. It’s a game changer for Oregonians.
After intense bipartisan teamwork,
we’ve secured $600M in @USDOT funding
for the critically important I-5
bridge replacement project. https://t.co/NfjsHvujQI</t>
  </si>
  <si>
    <t>bucketyboo_96
Love my job but being surrounded
by people constantly telling you
how much pain they’re in definetly
takes a toll on you.</t>
  </si>
  <si>
    <t>anniesong62
67 is the latest death toll on
Lahaina Maui Please continue to
post,pray,and donate... Besides
the local's devastation and loss
.. homes, businesses,...LIFE! THERE'S
SO much beautiful landscape,and
history lost .. just in this one
area... #Maui #Lahaina #Hawaiifire</t>
  </si>
  <si>
    <t>gregormacdonald
@redbuckman My framing wrt to US
LNG exports entirely excludes growth
of wind and solar here in the US.
Just not related, imo, at all.
Rather, this is about the prospect
that wind and solar growth would
be curtailed in ROW as Hey Hey!
Cheap NG for all takes its toll.</t>
  </si>
  <si>
    <t xml:space="preserve">redbuckman
</t>
  </si>
  <si>
    <t>stumptowngrrl
@oregoncitizen_ I plan on driving
whatever twisted backroad route
I can find without a toll. 80%
of Portlanders will do the same.
Watch potholes, accidents and pedestrian
casualties skyrocket.</t>
  </si>
  <si>
    <t>aquabluelounge
@SamHouston92 @seattletimes https://t.co/E9ifIizAql
death toll rising! Governor Newsome
banned gas cars! Newsome EV policy
is a killer!!</t>
  </si>
  <si>
    <t>maxbelousovgg
Tell @OregonDOT to shove that toll
where the sun don't shine</t>
  </si>
  <si>
    <t xml:space="preserve">oregondot
</t>
  </si>
  <si>
    <t>katesattler
@Lupus_Chat A5 The perennial struggle
of too many ideas/projects and
not enough energy. The psychological
toll of isolation and debilitation.
If I can at least maintain a baseline
vs experiencing new symptoms and
treatments, that will help (fingers
crossed!) #LupusChat</t>
  </si>
  <si>
    <t xml:space="preserve">lupus_chat
</t>
  </si>
  <si>
    <t>ohsubrain
"This crisis is taking a toll on
law enforcement, ambulance and
healthcare professionals...The
situation is untenable." https://t.co/yj4j2Qal4f
via @oregonlive</t>
  </si>
  <si>
    <t xml:space="preserve">oregonlive
</t>
  </si>
  <si>
    <t xml:space="preserve">usdot
</t>
  </si>
  <si>
    <t>luke_the_duke00
Thank God ion gotta work this weekend,
this year has been taking a toll
on ya boy, working hella Saturdays
&amp;amp; some Sundays. _xD83D__xDE2D__xD83D__xDE2D__xD83D__xDE2D__xD83D__xDE2D_</t>
  </si>
  <si>
    <t>toonimator
@MarkCeleste2727 @QuiGonJenna Asteroids
wouldn’t have such gravity. Han
&amp;amp; Leia &amp;amp; Chewie have masks
on over their mouths &amp;amp; nose,
but no other protective gear. And
Leia in TLJ was only out in space
a couple minutes, and it clearly
took a toll given her being placed
in a medical pod afterwards.</t>
  </si>
  <si>
    <t xml:space="preserve">quigonjenna
</t>
  </si>
  <si>
    <t xml:space="preserve">markceleste2727
</t>
  </si>
  <si>
    <t>robotvirgin
“The Gaza death toll tonight is
now at 6,500. In 18 days. • Is
that your ‘team’ Joe Biden • Is
that your ‘win’ Rishi Sunak • Is
that Israel’s ‘right’ Keir Starmer
War mongers” - Howard Beckett!</t>
  </si>
  <si>
    <t>shooty_mcbooty
@SteakFrankhouse If X was around
back then, the death toll would’ve
doubled.</t>
  </si>
  <si>
    <t xml:space="preserve">steakfrankhouse
</t>
  </si>
  <si>
    <t>theemsmolly
@greg16676935420 It's like I want
to...but I know what it's like
to not be able to afford it...so
on behalf of those individuals,
unless you're streaming me a service
I'm not down for the monthly payment
I'm also not for toll's or anything
that unevens the playing field
_xD83C__xDFD1_</t>
  </si>
  <si>
    <t xml:space="preserve">greg16676935420
</t>
  </si>
  <si>
    <t>fauxnamerice
@weedlings73 I think the loss of
loved ones would eventually take
its toll.</t>
  </si>
  <si>
    <t xml:space="preserve">weedlings73
</t>
  </si>
  <si>
    <t>lisaandemma
@RonnyJacksonTX I’m sorry, you
must be talking about TRump! He’s
losing his mind! What’s left of
it! His adderrall addiction has
taken its toll!!! Joe is the best!</t>
  </si>
  <si>
    <t xml:space="preserve">ronnyjacksontx
</t>
  </si>
  <si>
    <t>tinastinnett007
Whose numbers are we to believe?
Somehow someone’s figures and findings
are way off! - “In mid February
2010, the Haitian government reported
the death toll to have reached
230,000 (from the earthquake).
However, an investigation by Radio
Netherlands has questioned the
official…</t>
  </si>
  <si>
    <t>pdxfanatic
@yashar The Biden administration
is complicit in the ethnic cleansing
of Palestinians and almost all
of congress does not support a
ceasefire. The death toll and murder
of Palestinians will continue to
rise and our tax dollars are paying
for it.</t>
  </si>
  <si>
    <t xml:space="preserve">yashar
</t>
  </si>
  <si>
    <t>w7enk
While it's extremely rare, we can
and DO get tornadoes here in the
#PNW. Today marks 51 years since
the deadliest and most powerful
#tornado to hit #Portland Metro
in recorded history. Many fewer
residents back then, imagine the
damage and death toll if it happened
today?! _xD83C__xDF2A_️</t>
  </si>
  <si>
    <t>weatherjefe
Today is the 51st anniversary of
the 1972 Vancouver Tornado, the
deadliest to hit the U.S. west
of the Rockies. It was rated an
F-3 tornado, killing 6 people &amp;amp;
injuring 300. The tornado first
touched down in Portland, crossed
the Columbia River &amp;amp; moved
through Vancouver, WA. https://t.co/x7SOGVPO5C</t>
  </si>
  <si>
    <t>xsandman00
@mehdirhasan I condemn both of
them, but blame Hamas for both.
If Hamas didn’t hide military locations
in civilian areas, then the civilian
death toll wouldn’t be so high.
Are you suggesting Hamas should
escape justice because they hide
behind civilians?</t>
  </si>
  <si>
    <t xml:space="preserve">mehdirhasan
</t>
  </si>
  <si>
    <t>herlihy_f
Israel-Gaza war live updates: Gaza
death toll passes 10,000, health
officials say; Blinken says more
aid coming soon https://t.co/SMLEIvEXeF</t>
  </si>
  <si>
    <t>pardonmypain
@Naomi_D_Harvey I'm having nostalgia
now for one of my past lives where
I was tasked with modifying toll-like
receptors and bombarding them with
pathogenic materials to see if
we could turn off various autoimmune
processes. _xD83D__xDE05_ This IS huge news!
_xD83E__xDD70_</t>
  </si>
  <si>
    <t xml:space="preserve">naomi_d_harvey
</t>
  </si>
  <si>
    <t>wingsatlast
@CollinRugg @RNCResearch Come on
Mr. Biden. You are clearly not
well sir, suggesting that any fallen
soldier would be disrespected by
any former President, especially
Mr. Trump. The stress and strain
of your presidential responsibilities,
seems to be taking its toll on
your health and well being.</t>
  </si>
  <si>
    <t xml:space="preserve">rncresearch
</t>
  </si>
  <si>
    <t xml:space="preserve">collinrugg
</t>
  </si>
  <si>
    <t>kgwnews
Palestinian death toll in Gaza
surpasses 25,000 while the prolonged
war divides Israelis https://t.co/ckIjdMvvAV</t>
  </si>
  <si>
    <t>shaving_s
@NotHoodlum Hate can really take
a toll upon the body and even infect
your hair. This is quite evident
by the photo Maria posted, just
how badly HATE will really fugly
you out. .</t>
  </si>
  <si>
    <t xml:space="preserve">nothoodlum
</t>
  </si>
  <si>
    <t>chuckwoolery
Fans are concerned after seeing
these photos. https://t.co/lq4vYn00Y3</t>
  </si>
  <si>
    <t>billy_purcell
The insidious, demonic deep state
persecution of Ivanka, and the
whole Trump family takes its toll.</t>
  </si>
  <si>
    <t>art_burke
@kevinnbass Hospitals have this
crazy desire to protect patients
against communicable respiratory
diseases carried by visitors, and
protect visitors and staff against
diseases patients have. Remember
the toll the virus took on health
care workers before the vaccine
became available?</t>
  </si>
  <si>
    <t xml:space="preserve">moderna_tx
</t>
  </si>
  <si>
    <t xml:space="preserve">alexberenson
</t>
  </si>
  <si>
    <t xml:space="preserve">mojocuba
</t>
  </si>
  <si>
    <t xml:space="preserve">robin_shattock
</t>
  </si>
  <si>
    <t xml:space="preserve">stkirsch
</t>
  </si>
  <si>
    <t xml:space="preserve">kevinnbass
</t>
  </si>
  <si>
    <t>mordechaiklompa
_xD83C__xDDEE__xD83C__xDDF1_ _xD83C__xDDF5__xD83C__xDDF8_ This is one of the most
heinous massacres that the Israelis
carried out against the Palestinians
36 years ago, and the media did
not talk about it because there
were no media outlets at that time
in Palestine. Follow the video.
Share the truth https://t.co/Dk394PchJ7</t>
  </si>
  <si>
    <t>gentlypress
3500-5000 Palestinians killed by
Israeli soldiers in 1982. Which
is already horrific, but the death
toll of Israel's current genocidal
campaign is at least FIVE TIMES
that many. #CeasefireNOW</t>
  </si>
  <si>
    <t>beautiful_str34
@CSmoove_Sports @blakjordanbreen
@BabyEsko3900 @MeechieJacobs @Trevor00988477
On the sure will of effort, staying
in front &amp;amp; contesting, not
bouncing easily off kawhi etc,
yes to a degree, I agree. However,
as he started to miss shots in
a row his Def took a toll &amp;amp;
hurt the team at times, dwn the
stretch in clutch momentum moments.
Moreover, when his offen</t>
  </si>
  <si>
    <t xml:space="preserve">trevor00988477
</t>
  </si>
  <si>
    <t xml:space="preserve">meechiejacobs
</t>
  </si>
  <si>
    <t xml:space="preserve">babyesko3900
</t>
  </si>
  <si>
    <t xml:space="preserve">blakjordanbreen
</t>
  </si>
  <si>
    <t xml:space="preserve">csmoove_sports
</t>
  </si>
  <si>
    <t>muellershewrote
Nazis confused by turnstiles is
comedy gold. Has anyone scored
this yet? https://t.co/sg6clukoQq</t>
  </si>
  <si>
    <t>murray_tim
This is the same thing as in blazing
saddles , when they put a toll
booth in the middle of the desert.
https://t.co/WblVWvGLka</t>
  </si>
  <si>
    <t>dedevotesblue
The #SupremeCourt is corrupt and
a toll for big corporations and
the .01%</t>
  </si>
  <si>
    <t>sawyerhackett
Wow. A whistleblower alleges that
Jane Roberts—wife of Chief Justice
John Roberts—was paid more than
$10 million in recruiting fees
from top law firms that had business
in front of the Court. Below is
one page of the report showing
her earnings. More: https://t.co/ccEDxinEQL
https://t.co/RpEkR94DNy</t>
  </si>
  <si>
    <t>vanhopecomedy
@meggie_meg26 Yes. There were toll
free hotlines you could call. If
the power was out and you needed
to rest your digital clocks.</t>
  </si>
  <si>
    <t xml:space="preserve">meggie_meg26
</t>
  </si>
  <si>
    <t>foeayem
@bessbousaa “twenty eight soldiers
got blown up trying to add to the
already 25 thousand Palestinian
death toll” like how much more
fucking disgusting can you get</t>
  </si>
  <si>
    <t xml:space="preserve">bessbousaa
</t>
  </si>
  <si>
    <t>anmolrightnow
okay things are starting to take
a toll on me</t>
  </si>
  <si>
    <t>shannoncmallory
WOW. #ClimateCrisis Hidden Toll
of the Northwest Heat Wave: Hundreds
of Extra Deaths https://t.co/GhmbEXsfId</t>
  </si>
  <si>
    <t>petertaylor_01
Knock! Knock! ✊_xD83C__xDFFE_who is there?
Me…Me who? I am the Realtor who
is going to get you a premium price
for your home. Call me at my toll
free number to get your free buyer
or seller consultation. _xD83D__xDCF2_ 360-473-
9938 #multnomahcounty #KingCountyWA
#washingtoncountyoregon https://t.co/uRSnXd0Uxu</t>
  </si>
  <si>
    <t>alexiislex
This strike has everyone in a collective
shitty ass mood., for over 20 days
now!!! Wrap this shit up, it’s
taking a mental toll _xD83E__xDD72_</t>
  </si>
  <si>
    <t>dickmar52
@LakotaMan1 Keep up the good work,
I start 2nd shift tomorrow, I worked
days but getting up at 4am takes
its toll</t>
  </si>
  <si>
    <t xml:space="preserve">lakotaman1
</t>
  </si>
  <si>
    <t>pdxsburning
@SamPack00679914 @20MinPromo @deonteddj
Last but not least, the current
gaza death toll which, according
to the health ministry IN GAZA
is around 30k. Approximately 1.5%
of what you claimed. By the way,
this took 30 seconds. https://t.co/mjvB4KYMlD</t>
  </si>
  <si>
    <t xml:space="preserve">deonteddj
</t>
  </si>
  <si>
    <t xml:space="preserve">20minpromo
</t>
  </si>
  <si>
    <t>hannahcrazyhawk
Yes, but not anymore. I just had
to move because of mold. The toll
it took on my body and mind was
and still is hell. It’s horrible
here in the PNW. This isn’t the
first time I’ve had to flee my
home because of mold and other
environmental toxins. #MCAS #chronicillness</t>
  </si>
  <si>
    <t>joannanobanana
Hi disabled and/or chronically
ill friends, Do you or anyone you
know struggle with mold inside
their home?</t>
  </si>
  <si>
    <t>seiginotora_tm
Last night’s misadventure is now
taking its toll on me… my legs
are hurting bad and I got under
two more hours of work. I don’t
know if I can make it.</t>
  </si>
  <si>
    <t xml:space="preserve">kiryussideburns
</t>
  </si>
  <si>
    <t>nickfent
Huh, my partner who doesn’t drive,
who’s car we sold in 2021 some
how got a toll 3 days in a row
in Texas at the start of December
2022. Even though we’ve been gone
since the end of 2021 _xD83D__xDE02__xD83D__xDE02_</t>
  </si>
  <si>
    <t>oddswithgop
The death toll in Maui has surpassed
100, Gov. Josh Green of Hawaii
said. The victims have not yet
been publicly identified. Tuesday,
August 15, 2023 10:44 PM ET One
of the worst natural disasters
in Hawaii’s history, and the deadliest
wildfire in the U.S. since 1918.
_xD83D__xDE25_</t>
  </si>
  <si>
    <t>a21starman
@lesnara2 @Maxmad39388773 From
her father and band mates has taken
a toll on her.</t>
  </si>
  <si>
    <t xml:space="preserve">newworldanglo
</t>
  </si>
  <si>
    <t xml:space="preserve">maxmad39388773
</t>
  </si>
  <si>
    <t>dutch52050550
@streetfighthard Paid the toll</t>
  </si>
  <si>
    <t xml:space="preserve">streetfighthard
</t>
  </si>
  <si>
    <t>lostdiva
@Marypop987 @WadeTurnbull Be specific
cos the death toll is like 38k
Gaza, 1,400 Israel</t>
  </si>
  <si>
    <t xml:space="preserve">wadeturnbull
</t>
  </si>
  <si>
    <t xml:space="preserve">marypop987
</t>
  </si>
  <si>
    <t>beelofosho
@Rayterrill Not sure of my source’s
credibility in this, but word is
there’s something in the works
for tracking mileage and charging
based on mileage. Not sure if that’s
ala cameras similar to the toll
system outside of Seattle, annual
reported mileage, or mileage at
registration renewal</t>
  </si>
  <si>
    <t xml:space="preserve">rayterrill
</t>
  </si>
  <si>
    <t>j_mcdonald81
@lukeroth1015 Make sure you got
cash for Tolls dude. They're everywhere
down there. Especially leaving
the East Bay with the Benicia Toll
Bridge.</t>
  </si>
  <si>
    <t xml:space="preserve">lukeroth1015
</t>
  </si>
  <si>
    <t>pdxblake
@nomorefreeways I wonder how the
projections of VMT and toll-paying
drivers would hold up under this
type of scrutiny if the bonds being
issued for the IBRP are related
to future tolling revenue. https://t.co/dfQLfo5uud
https://t.co/tE7sEJvSjo</t>
  </si>
  <si>
    <t xml:space="preserve">nomorefreeways
</t>
  </si>
  <si>
    <t xml:space="preserve">miamidolphins
</t>
  </si>
  <si>
    <t>quintonmurdock
@Sabo_Cat161 I was mad. Now I’m
just worried for the mental toll
on well-being Florida is for people
https://t.co/cf8MJ9qmWg</t>
  </si>
  <si>
    <t xml:space="preserve">sabo_cat161
</t>
  </si>
  <si>
    <t>hardlee73
@MGPforCongress Will the old Vancouver
toll bridge tokens from the 60s
still be valid and, if not, why?
https://t.co/LCE67HgscJ</t>
  </si>
  <si>
    <t xml:space="preserve">oregonsos
</t>
  </si>
  <si>
    <t xml:space="preserve">jeffmerkley
</t>
  </si>
  <si>
    <t xml:space="preserve">repblumenauer
</t>
  </si>
  <si>
    <t xml:space="preserve">repbonamici
</t>
  </si>
  <si>
    <t xml:space="preserve">tuckercarlson
</t>
  </si>
  <si>
    <t xml:space="preserve">seanhannity
</t>
  </si>
  <si>
    <t xml:space="preserve">janninereid1
</t>
  </si>
  <si>
    <t xml:space="preserve">mgpforcongress
</t>
  </si>
  <si>
    <t>henspangled2020
@PDXReal1 They don’t want to fix
the issue. If they wanted to fix
it they’d work together to build
the bridge. But nope, they want
a TOLL it!</t>
  </si>
  <si>
    <t>goodvibepolitik
TikTok reportedly taken on a creek
that runs from East Palestine,
Ohio. Notice that it’s full of
dead fish. This combined with reports
of chicken and livestock die off
and reporters being arrested in
the area is painting a startlingly
more dire picture than is being
reported. https://t.co/Z2a8QR2AxK</t>
  </si>
  <si>
    <t>susan35763565
This is getting no media coverage.
Possibly the worst chemical disaster
in our history. The death toll
has yet to be seen, but is certainly
inevitable.</t>
  </si>
  <si>
    <t>lindas_here
@A_tothe_Z_Amber I understand that.
I think we all are. 7 years fighting
the orange clown and all his minions
takes a toll. He’s normalized cruelty,
inhumanity, lying and bullying.
We’re all so tired of it, yet we
have to keep pushing the truth
out there or else democracy will
cease to exist.</t>
  </si>
  <si>
    <t xml:space="preserve">a_tothe_z_amber
</t>
  </si>
  <si>
    <t>therealfarley
@Ac7ionMann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</si>
  <si>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 xml:space="preserve">ac7ionmann
</t>
  </si>
  <si>
    <t>pdxbizjournal
Alcohol's high toll and Oregon's
relatively modest beer and wine
taxes are a perennial issue in
the state, but a couple of developments
of ratcheted up the debate. https://t.co/9MgVc6Qtjy</t>
  </si>
  <si>
    <t>oregonian
Palestinian death toll in Gaza
surpasses 25,000 while Israel announces
death of another hostage https://t.co/KclJTpu0Ry</t>
  </si>
  <si>
    <t>zlorple
@itsbedtime_ "NYT resorts to use
of second derivative to avoid reporting
Gazan death toll"</t>
  </si>
  <si>
    <t xml:space="preserve">itsbedtime_
</t>
  </si>
  <si>
    <t>spartytoon
Considering the death toll in that
time, she's a cheap date.</t>
  </si>
  <si>
    <t>tyleroakley
https://t.co/QVYxHnQ4G7</t>
  </si>
  <si>
    <t>italiangirl104
@hunnybadgermom Andy’s trial took
a toll on ALL of us in the courtroom
_xD83D__xDE1E_ Always praying for change in
Portland and Justice against all
odds. Disappointed again. Love
you _xD83D__xDE4F__xD83C__xDFFC_❤️</t>
  </si>
  <si>
    <t xml:space="preserve">hunnybadgermom
</t>
  </si>
  <si>
    <t>kenwelcome0001
@msolurin 19 deaths last year plus
27 or whatever the number is this
year really calls for a release
to the public of Rikers death toll.
This is a crisis that sounds like
the attorney general should be
investigating. Where's DOJ in all
this?</t>
  </si>
  <si>
    <t xml:space="preserve">msolurin
</t>
  </si>
  <si>
    <t>smilinandy
_xD83D__xDC94_ Toll from quakes passes 21,000;
Turkey builds makeshift cemetery
https://t.co/9qXXVUCRmm</t>
  </si>
  <si>
    <t>wintheday848
Way to go Seattle for charging
a toll on a bridge I was on a MONTH
ago. This is why we don’t like
you.</t>
  </si>
  <si>
    <t>fox12oregon
Palestinian death toll soars past
25,000 in Gaza with no end in sight
to Israel-Hamas war https://t.co/aLmI1Yd9qz</t>
  </si>
  <si>
    <t>miavtv
UPDATE: Death toll climbs to 18.
Law enforcement still searching
for suspect, 40 year old Robert
Card.</t>
  </si>
  <si>
    <t>kavanah613
@oregoncitizen_ Why did Wagner
appoint her to the committee? If
she loves tolling so much, perhaps
they should toll the tunnel instead
of 205, which has no public transportation.
#orpol #orleg</t>
  </si>
  <si>
    <t>zciwogor
@CobraEconomics @tinselfire @dwallacewells
I know! The Trumpism being imported
from Russia by the wealthy GQP
is really taking a toll on uneducated
Americans like @CobraEconomics</t>
  </si>
  <si>
    <t xml:space="preserve">dwallacewells
</t>
  </si>
  <si>
    <t xml:space="preserve">tinselfire
</t>
  </si>
  <si>
    <t xml:space="preserve">cobraeconomics
</t>
  </si>
  <si>
    <t xml:space="preserve">seattletimes
</t>
  </si>
  <si>
    <t xml:space="preserve">lesnara2
</t>
  </si>
  <si>
    <t xml:space="preserve">nickroj80278654
</t>
  </si>
  <si>
    <t xml:space="preserve">sampack00679914
</t>
  </si>
  <si>
    <t>dickhughes
From a new think tank to a needed
toll administrator, here are the
latest moves and wannabes. "Oregon
insiders: Who's who in and around
state government" #ORleg #ORpol
https://t.co/W2X6n4sjbN via @ORCapitalBureau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</si>
  <si>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</si>
  <si>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</si>
  <si>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</si>
  <si>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</si>
  <si>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</si>
  <si>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</si>
  <si>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</si>
  <si>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</si>
  <si>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</si>
  <si>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</si>
  <si>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</si>
  <si>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</si>
  <si>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</si>
  <si>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</si>
  <si>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</si>
  <si>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</si>
  <si>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</si>
  <si>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</si>
  <si>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</si>
  <si>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</si>
  <si>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</si>
  <si>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</si>
  <si>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</si>
  <si>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</si>
  <si>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</si>
  <si>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</si>
  <si>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</si>
  <si>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</si>
  <si>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</si>
  <si>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</si>
  <si>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</si>
  <si>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</si>
  <si>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</si>
  <si>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</si>
  <si>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</si>
  <si>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</si>
  <si>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</si>
  <si>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</si>
  <si>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</si>
  <si>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</si>
  <si>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</si>
  <si>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</si>
  <si>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</si>
  <si>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</si>
  <si>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</si>
  <si>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</si>
  <si>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</si>
  <si>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</si>
  <si>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</si>
  <si>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</si>
  <si>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</si>
  <si>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</si>
  <si>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</si>
  <si>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</si>
  <si>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</si>
  <si>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</si>
  <si>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</si>
  <si>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</si>
  <si>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</si>
  <si>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</si>
  <si>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</si>
  <si>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</si>
  <si>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</si>
  <si>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</si>
  <si>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</si>
  <si>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</si>
  <si>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</si>
  <si>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</si>
  <si>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</si>
  <si>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</si>
  <si>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</si>
  <si>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</si>
  <si>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</si>
  <si>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</si>
  <si>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</si>
  <si>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</si>
  <si>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</si>
  <si>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</si>
  <si>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</si>
  <si>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</si>
  <si>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</si>
  <si>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</si>
  <si>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</si>
  <si>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</si>
  <si>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</si>
  <si>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</si>
  <si>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</si>
  <si>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</si>
  <si>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</si>
  <si>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</si>
  <si>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</si>
  <si>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</si>
  <si>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</si>
  <si>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</si>
  <si>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</si>
  <si>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</si>
  <si>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</si>
  <si>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</si>
  <si>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</si>
  <si>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</si>
  <si>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</si>
  <si>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</si>
  <si>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</si>
  <si>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</si>
  <si>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</si>
  <si>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</si>
  <si>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</si>
  <si>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</si>
  <si>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</si>
  <si>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</si>
  <si>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</si>
  <si>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</si>
  <si>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</si>
  <si>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</si>
  <si>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</si>
  <si>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</si>
  <si>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</si>
  <si>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</si>
  <si>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</si>
  <si>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</si>
  <si>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</si>
  <si>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</si>
  <si>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</si>
  <si>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</si>
  <si>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</si>
  <si>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toll</t>
  </si>
  <si>
    <t>death</t>
  </si>
  <si>
    <t>people</t>
  </si>
  <si>
    <t>gaza</t>
  </si>
  <si>
    <t>being</t>
  </si>
  <si>
    <t>000</t>
  </si>
  <si>
    <t>one</t>
  </si>
  <si>
    <t>israel</t>
  </si>
  <si>
    <t>more</t>
  </si>
  <si>
    <t>taking</t>
  </si>
  <si>
    <t>bridge</t>
  </si>
  <si>
    <t>really</t>
  </si>
  <si>
    <t>state</t>
  </si>
  <si>
    <t>took</t>
  </si>
  <si>
    <t>take</t>
  </si>
  <si>
    <t>takes</t>
  </si>
  <si>
    <t>years</t>
  </si>
  <si>
    <t>well</t>
  </si>
  <si>
    <t>time</t>
  </si>
  <si>
    <t>much</t>
  </si>
  <si>
    <t>work</t>
  </si>
  <si>
    <t>think</t>
  </si>
  <si>
    <t>25</t>
  </si>
  <si>
    <t>against</t>
  </si>
  <si>
    <t>sure</t>
  </si>
  <si>
    <t>trump</t>
  </si>
  <si>
    <t>know</t>
  </si>
  <si>
    <t>love</t>
  </si>
  <si>
    <t>home</t>
  </si>
  <si>
    <t>days</t>
  </si>
  <si>
    <t>war</t>
  </si>
  <si>
    <t>hamas</t>
  </si>
  <si>
    <t>maui</t>
  </si>
  <si>
    <t>health</t>
  </si>
  <si>
    <t>palestinians</t>
  </si>
  <si>
    <t>taken</t>
  </si>
  <si>
    <t>rise</t>
  </si>
  <si>
    <t>going</t>
  </si>
  <si>
    <t>today</t>
  </si>
  <si>
    <t>right</t>
  </si>
  <si>
    <t>team</t>
  </si>
  <si>
    <t>yes</t>
  </si>
  <si>
    <t>biden</t>
  </si>
  <si>
    <t>palestinian</t>
  </si>
  <si>
    <t>issue</t>
  </si>
  <si>
    <t>year</t>
  </si>
  <si>
    <t>bay</t>
  </si>
  <si>
    <t>ve</t>
  </si>
  <si>
    <t>re</t>
  </si>
  <si>
    <t>history</t>
  </si>
  <si>
    <t>number</t>
  </si>
  <si>
    <t>money</t>
  </si>
  <si>
    <t>covid</t>
  </si>
  <si>
    <t>those</t>
  </si>
  <si>
    <t>make</t>
  </si>
  <si>
    <t>perennial</t>
  </si>
  <si>
    <t>oregon</t>
  </si>
  <si>
    <t>mental</t>
  </si>
  <si>
    <t>surpasses</t>
  </si>
  <si>
    <t>coming</t>
  </si>
  <si>
    <t>still</t>
  </si>
  <si>
    <t>tolls</t>
  </si>
  <si>
    <t>wildfire</t>
  </si>
  <si>
    <t>19</t>
  </si>
  <si>
    <t>10</t>
  </si>
  <si>
    <t>getting</t>
  </si>
  <si>
    <t>mileage</t>
  </si>
  <si>
    <t>need</t>
  </si>
  <si>
    <t>around</t>
  </si>
  <si>
    <t>good</t>
  </si>
  <si>
    <t>relatively</t>
  </si>
  <si>
    <t>last</t>
  </si>
  <si>
    <t>don</t>
  </si>
  <si>
    <t>bad</t>
  </si>
  <si>
    <t>couple</t>
  </si>
  <si>
    <t>before</t>
  </si>
  <si>
    <t>pay</t>
  </si>
  <si>
    <t>way</t>
  </si>
  <si>
    <t>high</t>
  </si>
  <si>
    <t>row</t>
  </si>
  <si>
    <t>keep</t>
  </si>
  <si>
    <t>call</t>
  </si>
  <si>
    <t>whatever</t>
  </si>
  <si>
    <t>ago</t>
  </si>
  <si>
    <t>clear</t>
  </si>
  <si>
    <t>justice</t>
  </si>
  <si>
    <t>game</t>
  </si>
  <si>
    <t>made</t>
  </si>
  <si>
    <t>over</t>
  </si>
  <si>
    <t>tornado</t>
  </si>
  <si>
    <t>same</t>
  </si>
  <si>
    <t>use</t>
  </si>
  <si>
    <t>numbers</t>
  </si>
  <si>
    <t>huge</t>
  </si>
  <si>
    <t>taxes</t>
  </si>
  <si>
    <t>citizens</t>
  </si>
  <si>
    <t>start</t>
  </si>
  <si>
    <t>always</t>
  </si>
  <si>
    <t>live</t>
  </si>
  <si>
    <t>palestine</t>
  </si>
  <si>
    <t>oregonians</t>
  </si>
  <si>
    <t>developments</t>
  </si>
  <si>
    <t>free</t>
  </si>
  <si>
    <t>wine</t>
  </si>
  <si>
    <t>media</t>
  </si>
  <si>
    <t>portland</t>
  </si>
  <si>
    <t>down</t>
  </si>
  <si>
    <t>add</t>
  </si>
  <si>
    <t>support</t>
  </si>
  <si>
    <t>oregon's</t>
  </si>
  <si>
    <t>go</t>
  </si>
  <si>
    <t>already</t>
  </si>
  <si>
    <t>debate</t>
  </si>
  <si>
    <t>americans</t>
  </si>
  <si>
    <t>times</t>
  </si>
  <si>
    <t>china</t>
  </si>
  <si>
    <t>fees</t>
  </si>
  <si>
    <t>40</t>
  </si>
  <si>
    <t>especially</t>
  </si>
  <si>
    <t>rises</t>
  </si>
  <si>
    <t>turkey</t>
  </si>
  <si>
    <t>see</t>
  </si>
  <si>
    <t>officials</t>
  </si>
  <si>
    <t>public</t>
  </si>
  <si>
    <t>updates</t>
  </si>
  <si>
    <t>alcohol's</t>
  </si>
  <si>
    <t>things</t>
  </si>
  <si>
    <t>ratcheted</t>
  </si>
  <si>
    <t>tolling</t>
  </si>
  <si>
    <t>done</t>
  </si>
  <si>
    <t>vancouver</t>
  </si>
  <si>
    <t>dead</t>
  </si>
  <si>
    <t>fix</t>
  </si>
  <si>
    <t>believe</t>
  </si>
  <si>
    <t>move</t>
  </si>
  <si>
    <t>deadliest</t>
  </si>
  <si>
    <t>hit</t>
  </si>
  <si>
    <t>workers</t>
  </si>
  <si>
    <t>syria</t>
  </si>
  <si>
    <t>vote</t>
  </si>
  <si>
    <t>beer</t>
  </si>
  <si>
    <t>many</t>
  </si>
  <si>
    <t>drivers</t>
  </si>
  <si>
    <t>deaths</t>
  </si>
  <si>
    <t>mold</t>
  </si>
  <si>
    <t>killed</t>
  </si>
  <si>
    <t>east</t>
  </si>
  <si>
    <t>another</t>
  </si>
  <si>
    <t>booth</t>
  </si>
  <si>
    <t>day</t>
  </si>
  <si>
    <t>maine</t>
  </si>
  <si>
    <t>law</t>
  </si>
  <si>
    <t>reported</t>
  </si>
  <si>
    <t>tax</t>
  </si>
  <si>
    <t>passes</t>
  </si>
  <si>
    <t>modest</t>
  </si>
  <si>
    <t>joe</t>
  </si>
  <si>
    <t>middle</t>
  </si>
  <si>
    <t>back</t>
  </si>
  <si>
    <t>under</t>
  </si>
  <si>
    <t>israelis</t>
  </si>
  <si>
    <t>hostage</t>
  </si>
  <si>
    <t>washington</t>
  </si>
  <si>
    <t>outside</t>
  </si>
  <si>
    <t>old</t>
  </si>
  <si>
    <t>night</t>
  </si>
  <si>
    <t>diseases</t>
  </si>
  <si>
    <t>constantly</t>
  </si>
  <si>
    <t>house</t>
  </si>
  <si>
    <t>losing</t>
  </si>
  <si>
    <t>44</t>
  </si>
  <si>
    <t>changer</t>
  </si>
  <si>
    <t>thing</t>
  </si>
  <si>
    <t>subsidizing</t>
  </si>
  <si>
    <t>everyone</t>
  </si>
  <si>
    <t>staff</t>
  </si>
  <si>
    <t>18</t>
  </si>
  <si>
    <t>28</t>
  </si>
  <si>
    <t>long</t>
  </si>
  <si>
    <t>knock</t>
  </si>
  <si>
    <t>hate</t>
  </si>
  <si>
    <t>ceasefire</t>
  </si>
  <si>
    <t>body</t>
  </si>
  <si>
    <t>cut</t>
  </si>
  <si>
    <t>cheap</t>
  </si>
  <si>
    <t>exhausting</t>
  </si>
  <si>
    <t>hundreds</t>
  </si>
  <si>
    <t>loss</t>
  </si>
  <si>
    <t>united</t>
  </si>
  <si>
    <t>august</t>
  </si>
  <si>
    <t>please</t>
  </si>
  <si>
    <t>games</t>
  </si>
  <si>
    <t>isn</t>
  </si>
  <si>
    <t>put</t>
  </si>
  <si>
    <t>front</t>
  </si>
  <si>
    <t>continues</t>
  </si>
  <si>
    <t>tonight</t>
  </si>
  <si>
    <t>2020</t>
  </si>
  <si>
    <t>treatments</t>
  </si>
  <si>
    <t>strike</t>
  </si>
  <si>
    <t>suggesting</t>
  </si>
  <si>
    <t>administration</t>
  </si>
  <si>
    <t>continue</t>
  </si>
  <si>
    <t>collecting</t>
  </si>
  <si>
    <t>issued</t>
  </si>
  <si>
    <t>leia</t>
  </si>
  <si>
    <t>paid</t>
  </si>
  <si>
    <t>massive</t>
  </si>
  <si>
    <t>worst</t>
  </si>
  <si>
    <t>lahaina</t>
  </si>
  <si>
    <t>anyone</t>
  </si>
  <si>
    <t>hide</t>
  </si>
  <si>
    <t>2021</t>
  </si>
  <si>
    <t>during</t>
  </si>
  <si>
    <t>russia</t>
  </si>
  <si>
    <t>genocidal</t>
  </si>
  <si>
    <t>wife</t>
  </si>
  <si>
    <t>latest</t>
  </si>
  <si>
    <t>order</t>
  </si>
  <si>
    <t>homes</t>
  </si>
  <si>
    <t>side</t>
  </si>
  <si>
    <t>family</t>
  </si>
  <si>
    <t>eventually</t>
  </si>
  <si>
    <t>working</t>
  </si>
  <si>
    <t>digital</t>
  </si>
  <si>
    <t>create</t>
  </si>
  <si>
    <t>true</t>
  </si>
  <si>
    <t>find</t>
  </si>
  <si>
    <t>communism</t>
  </si>
  <si>
    <t>roads</t>
  </si>
  <si>
    <t>mind</t>
  </si>
  <si>
    <t>medical</t>
  </si>
  <si>
    <t>imagine</t>
  </si>
  <si>
    <t>carried</t>
  </si>
  <si>
    <t>disaster</t>
  </si>
  <si>
    <t>early</t>
  </si>
  <si>
    <t>seattle</t>
  </si>
  <si>
    <t>wind</t>
  </si>
  <si>
    <t>next</t>
  </si>
  <si>
    <t>#orleg</t>
  </si>
  <si>
    <t>ukrainian</t>
  </si>
  <si>
    <t>civilian</t>
  </si>
  <si>
    <t>soon</t>
  </si>
  <si>
    <t>situation</t>
  </si>
  <si>
    <t>protect</t>
  </si>
  <si>
    <t>lost</t>
  </si>
  <si>
    <t>ll</t>
  </si>
  <si>
    <t>crossed</t>
  </si>
  <si>
    <t>hey</t>
  </si>
  <si>
    <t>blinken</t>
  </si>
  <si>
    <t>data</t>
  </si>
  <si>
    <t>80</t>
  </si>
  <si>
    <t>remember</t>
  </si>
  <si>
    <t>needed</t>
  </si>
  <si>
    <t>enforcement</t>
  </si>
  <si>
    <t>areas</t>
  </si>
  <si>
    <t>news</t>
  </si>
  <si>
    <t>maybe</t>
  </si>
  <si>
    <t>uneducated</t>
  </si>
  <si>
    <t>related</t>
  </si>
  <si>
    <t>struggle</t>
  </si>
  <si>
    <t>system</t>
  </si>
  <si>
    <t>trying</t>
  </si>
  <si>
    <t>mr</t>
  </si>
  <si>
    <t>paying</t>
  </si>
  <si>
    <t>announces</t>
  </si>
  <si>
    <t>driving</t>
  </si>
  <si>
    <t>never</t>
  </si>
  <si>
    <t>highway</t>
  </si>
  <si>
    <t>soldiers</t>
  </si>
  <si>
    <t>evil</t>
  </si>
  <si>
    <t>quite</t>
  </si>
  <si>
    <t>hell</t>
  </si>
  <si>
    <t>telling</t>
  </si>
  <si>
    <t>21</t>
  </si>
  <si>
    <t>patients</t>
  </si>
  <si>
    <t>rising</t>
  </si>
  <si>
    <t>doing</t>
  </si>
  <si>
    <t>crisis</t>
  </si>
  <si>
    <t>government</t>
  </si>
  <si>
    <t>efforts</t>
  </si>
  <si>
    <t>having</t>
  </si>
  <si>
    <t>played</t>
  </si>
  <si>
    <t>seeing</t>
  </si>
  <si>
    <t>everywhere</t>
  </si>
  <si>
    <t>stress</t>
  </si>
  <si>
    <t>truth</t>
  </si>
  <si>
    <t>clearly</t>
  </si>
  <si>
    <t>pain</t>
  </si>
  <si>
    <t>signatures</t>
  </si>
  <si>
    <t>36</t>
  </si>
  <si>
    <t>deprived</t>
  </si>
  <si>
    <t>starting</t>
  </si>
  <si>
    <t>breaking</t>
  </si>
  <si>
    <t>roberts</t>
  </si>
  <si>
    <t>hawaii</t>
  </si>
  <si>
    <t>aid</t>
  </si>
  <si>
    <t>businesses</t>
  </si>
  <si>
    <t>studio</t>
  </si>
  <si>
    <t>individuals</t>
  </si>
  <si>
    <t>country</t>
  </si>
  <si>
    <t>area</t>
  </si>
  <si>
    <t>month</t>
  </si>
  <si>
    <t>come</t>
  </si>
  <si>
    <t>growth</t>
  </si>
  <si>
    <t>dollars</t>
  </si>
  <si>
    <t>works</t>
  </si>
  <si>
    <t>gravity</t>
  </si>
  <si>
    <t>again</t>
  </si>
  <si>
    <t>solar</t>
  </si>
  <si>
    <t>charging</t>
  </si>
  <si>
    <t>nation</t>
  </si>
  <si>
    <t>easily</t>
  </si>
  <si>
    <t>timeframe</t>
  </si>
  <si>
    <t>chief</t>
  </si>
  <si>
    <t>attacks</t>
  </si>
  <si>
    <t>both</t>
  </si>
  <si>
    <t>end</t>
  </si>
  <si>
    <t>2022</t>
  </si>
  <si>
    <t>newsome</t>
  </si>
  <si>
    <t>visitors</t>
  </si>
  <si>
    <t>president</t>
  </si>
  <si>
    <t>vaccine</t>
  </si>
  <si>
    <t>billion</t>
  </si>
  <si>
    <t>program</t>
  </si>
  <si>
    <t>away</t>
  </si>
  <si>
    <t>instead</t>
  </si>
  <si>
    <t>needs</t>
  </si>
  <si>
    <t>playing</t>
  </si>
  <si>
    <t>heavy</t>
  </si>
  <si>
    <t>look</t>
  </si>
  <si>
    <t>lowest</t>
  </si>
  <si>
    <t>first</t>
  </si>
  <si>
    <t>current</t>
  </si>
  <si>
    <t>fighting</t>
  </si>
  <si>
    <t>car</t>
  </si>
  <si>
    <t>past</t>
  </si>
  <si>
    <t>part</t>
  </si>
  <si>
    <t>hurricane</t>
  </si>
  <si>
    <t>second</t>
  </si>
  <si>
    <t>coronavirus</t>
  </si>
  <si>
    <t>job</t>
  </si>
  <si>
    <t>civilians</t>
  </si>
  <si>
    <t>#orpol</t>
  </si>
  <si>
    <t>loves</t>
  </si>
  <si>
    <t>leaving</t>
  </si>
  <si>
    <t>earthquake</t>
  </si>
  <si>
    <t>understand</t>
  </si>
  <si>
    <t>san</t>
  </si>
  <si>
    <t>wouldn</t>
  </si>
  <si>
    <t>wow</t>
  </si>
  <si>
    <t>shows</t>
  </si>
  <si>
    <t>wealthy</t>
  </si>
  <si>
    <t>together</t>
  </si>
  <si>
    <t>diverted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</si>
  <si>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</si>
  <si>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</si>
  <si>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</si>
  <si>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</si>
  <si>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</si>
  <si>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</si>
  <si>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</si>
  <si>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</si>
  <si>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</si>
  <si>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</si>
  <si>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</si>
  <si>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</si>
  <si>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</si>
  <si>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</si>
  <si>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</si>
  <si>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</si>
  <si>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</si>
  <si>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</si>
  <si>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</si>
  <si>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</si>
  <si>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</si>
  <si>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</si>
  <si>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</si>
  <si>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</si>
  <si>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</si>
  <si>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</si>
  <si>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</si>
  <si>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</si>
  <si>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</si>
  <si>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</si>
  <si>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</si>
  <si>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choice</t>
  </si>
  <si>
    <t>dusting</t>
  </si>
  <si>
    <t>metal</t>
  </si>
  <si>
    <t>music</t>
  </si>
  <si>
    <t>classical</t>
  </si>
  <si>
    <t>play</t>
  </si>
  <si>
    <t>computer</t>
  </si>
  <si>
    <t>hard</t>
  </si>
  <si>
    <t>stop</t>
  </si>
  <si>
    <t>danny</t>
  </si>
  <si>
    <t>downtown</t>
  </si>
  <si>
    <t>freely</t>
  </si>
  <si>
    <t>drugs</t>
  </si>
  <si>
    <t>taxing</t>
  </si>
  <si>
    <t>scored</t>
  </si>
  <si>
    <t>gold</t>
  </si>
  <si>
    <t>comedy</t>
  </si>
  <si>
    <t>turnstiles</t>
  </si>
  <si>
    <t>confused</t>
  </si>
  <si>
    <t>nazis</t>
  </si>
  <si>
    <t>clocks</t>
  </si>
  <si>
    <t>rest</t>
  </si>
  <si>
    <t>power</t>
  </si>
  <si>
    <t>hotlines</t>
  </si>
  <si>
    <t>search</t>
  </si>
  <si>
    <t>expected</t>
  </si>
  <si>
    <t>wildfires</t>
  </si>
  <si>
    <t>gone</t>
  </si>
  <si>
    <t>december</t>
  </si>
  <si>
    <t>texas</t>
  </si>
  <si>
    <t>sold</t>
  </si>
  <si>
    <t>drive</t>
  </si>
  <si>
    <t>doesn</t>
  </si>
  <si>
    <t>partner</t>
  </si>
  <si>
    <t>huh</t>
  </si>
  <si>
    <t>project</t>
  </si>
  <si>
    <t>replacement</t>
  </si>
  <si>
    <t>important</t>
  </si>
  <si>
    <t>critically</t>
  </si>
  <si>
    <t>funding</t>
  </si>
  <si>
    <t>600m</t>
  </si>
  <si>
    <t>secured</t>
  </si>
  <si>
    <t>teamwork</t>
  </si>
  <si>
    <t>bipartisan</t>
  </si>
  <si>
    <t>intense</t>
  </si>
  <si>
    <t>shit</t>
  </si>
  <si>
    <t>wrap</t>
  </si>
  <si>
    <t>mood</t>
  </si>
  <si>
    <t>ass</t>
  </si>
  <si>
    <t>shitty</t>
  </si>
  <si>
    <t>collective</t>
  </si>
  <si>
    <t>gqp</t>
  </si>
  <si>
    <t>imported</t>
  </si>
  <si>
    <t>trumpism</t>
  </si>
  <si>
    <t>hours</t>
  </si>
  <si>
    <t>two</t>
  </si>
  <si>
    <t>hurting</t>
  </si>
  <si>
    <t>legs</t>
  </si>
  <si>
    <t>misadventure</t>
  </si>
  <si>
    <t>behind</t>
  </si>
  <si>
    <t>escape</t>
  </si>
  <si>
    <t>locations</t>
  </si>
  <si>
    <t>military</t>
  </si>
  <si>
    <t>didn</t>
  </si>
  <si>
    <t>blame</t>
  </si>
  <si>
    <t>condemn</t>
  </si>
  <si>
    <t>hype</t>
  </si>
  <si>
    <t>lessen</t>
  </si>
  <si>
    <t>prime</t>
  </si>
  <si>
    <t>five</t>
  </si>
  <si>
    <t>campaign</t>
  </si>
  <si>
    <t>israel's</t>
  </si>
  <si>
    <t>horrific</t>
  </si>
  <si>
    <t>israeli</t>
  </si>
  <si>
    <t>hear</t>
  </si>
  <si>
    <t>amazing</t>
  </si>
  <si>
    <t>priority</t>
  </si>
  <si>
    <t>adamant</t>
  </si>
  <si>
    <t>vocal</t>
  </si>
  <si>
    <t>ownership</t>
  </si>
  <si>
    <t>turf</t>
  </si>
  <si>
    <t>park</t>
  </si>
  <si>
    <t>providence</t>
  </si>
  <si>
    <t>environment</t>
  </si>
  <si>
    <t>obviously</t>
  </si>
  <si>
    <t>sc</t>
  </si>
  <si>
    <t>4am</t>
  </si>
  <si>
    <t>worked</t>
  </si>
  <si>
    <t>tomorrow</t>
  </si>
  <si>
    <t>shift</t>
  </si>
  <si>
    <t>2nd</t>
  </si>
  <si>
    <t>doubled</t>
  </si>
  <si>
    <t>x</t>
  </si>
  <si>
    <t>injury</t>
  </si>
  <si>
    <t>repetitive</t>
  </si>
  <si>
    <t>cumulative</t>
  </si>
  <si>
    <t>moment</t>
  </si>
  <si>
    <t>strangers</t>
  </si>
  <si>
    <t>basic</t>
  </si>
  <si>
    <t>justify</t>
  </si>
  <si>
    <t>fight</t>
  </si>
  <si>
    <t>demoralizing</t>
  </si>
  <si>
    <t>revenue</t>
  </si>
  <si>
    <t>future</t>
  </si>
  <si>
    <t>ibrp</t>
  </si>
  <si>
    <t>bonds</t>
  </si>
  <si>
    <t>scrutiny</t>
  </si>
  <si>
    <t>type</t>
  </si>
  <si>
    <t>hold</t>
  </si>
  <si>
    <t>vmt</t>
  </si>
  <si>
    <t>projections</t>
  </si>
  <si>
    <t>wonder</t>
  </si>
  <si>
    <t>commute</t>
  </si>
  <si>
    <t>shorter</t>
  </si>
  <si>
    <t>streets</t>
  </si>
  <si>
    <t>classes</t>
  </si>
  <si>
    <t>lower</t>
  </si>
  <si>
    <t>keeping</t>
  </si>
  <si>
    <t>congestion</t>
  </si>
  <si>
    <t>photos</t>
  </si>
  <si>
    <t>concerned</t>
  </si>
  <si>
    <t>fans</t>
  </si>
  <si>
    <t>ghost</t>
  </si>
  <si>
    <t>anyway</t>
  </si>
  <si>
    <t>spot</t>
  </si>
  <si>
    <t>streamers</t>
  </si>
  <si>
    <t>generation</t>
  </si>
  <si>
    <t>eager</t>
  </si>
  <si>
    <t>torch</t>
  </si>
  <si>
    <t>pass</t>
  </si>
  <si>
    <t>towel</t>
  </si>
  <si>
    <t>throw</t>
  </si>
  <si>
    <t>streams</t>
  </si>
  <si>
    <t>desktop</t>
  </si>
  <si>
    <t>fueled</t>
  </si>
  <si>
    <t>addy</t>
  </si>
  <si>
    <t>disgusting</t>
  </si>
  <si>
    <t>fucking</t>
  </si>
  <si>
    <t>thousand</t>
  </si>
  <si>
    <t>blown</t>
  </si>
  <si>
    <t>eight</t>
  </si>
  <si>
    <t>twenty</t>
  </si>
  <si>
    <t>offen</t>
  </si>
  <si>
    <t>moreover</t>
  </si>
  <si>
    <t>moments</t>
  </si>
  <si>
    <t>momentum</t>
  </si>
  <si>
    <t>clutch</t>
  </si>
  <si>
    <t>stretch</t>
  </si>
  <si>
    <t>dwn</t>
  </si>
  <si>
    <t>hurt</t>
  </si>
  <si>
    <t>def</t>
  </si>
  <si>
    <t>shots</t>
  </si>
  <si>
    <t>miss</t>
  </si>
  <si>
    <t>started</t>
  </si>
  <si>
    <t>agree</t>
  </si>
  <si>
    <t>degree</t>
  </si>
  <si>
    <t>etc</t>
  </si>
  <si>
    <t>kawhi</t>
  </si>
  <si>
    <t>bouncing</t>
  </si>
  <si>
    <t>contesting</t>
  </si>
  <si>
    <t>staying</t>
  </si>
  <si>
    <t>effort</t>
  </si>
  <si>
    <t>valid</t>
  </si>
  <si>
    <t>60s</t>
  </si>
  <si>
    <t>tokens</t>
  </si>
  <si>
    <t>setting</t>
  </si>
  <si>
    <t>person</t>
  </si>
  <si>
    <t>lead</t>
  </si>
  <si>
    <t>16k</t>
  </si>
  <si>
    <t>offering</t>
  </si>
  <si>
    <t>fingers</t>
  </si>
  <si>
    <t>symptoms</t>
  </si>
  <si>
    <t>experiencing</t>
  </si>
  <si>
    <t>vs</t>
  </si>
  <si>
    <t>baseline</t>
  </si>
  <si>
    <t>maintain</t>
  </si>
  <si>
    <t>debilitation</t>
  </si>
  <si>
    <t>isolation</t>
  </si>
  <si>
    <t>psychological</t>
  </si>
  <si>
    <t>energy</t>
  </si>
  <si>
    <t>enough</t>
  </si>
  <si>
    <t>projects</t>
  </si>
  <si>
    <t>ideas</t>
  </si>
  <si>
    <t>a5</t>
  </si>
  <si>
    <t>corporations</t>
  </si>
  <si>
    <t>big</t>
  </si>
  <si>
    <t>corrupt</t>
  </si>
  <si>
    <t>pandemic</t>
  </si>
  <si>
    <t>mar</t>
  </si>
  <si>
    <t>max</t>
  </si>
  <si>
    <t>roser</t>
  </si>
  <si>
    <t>diana</t>
  </si>
  <si>
    <t>beltekian</t>
  </si>
  <si>
    <t>bobbie</t>
  </si>
  <si>
    <t>macdonald</t>
  </si>
  <si>
    <t>hasell</t>
  </si>
  <si>
    <t>esteban</t>
  </si>
  <si>
    <t>ospina</t>
  </si>
  <si>
    <t>ortiz</t>
  </si>
  <si>
    <t>charlie</t>
  </si>
  <si>
    <t>giattino</t>
  </si>
  <si>
    <t>cameron</t>
  </si>
  <si>
    <t>appel</t>
  </si>
  <si>
    <t>lucas</t>
  </si>
  <si>
    <t>guirao</t>
  </si>
  <si>
    <t>rodés</t>
  </si>
  <si>
    <t>edouard</t>
  </si>
  <si>
    <t>mathieu</t>
  </si>
  <si>
    <t>hannah</t>
  </si>
  <si>
    <t>ritchie</t>
  </si>
  <si>
    <t>economist</t>
  </si>
  <si>
    <t>pandemic's</t>
  </si>
  <si>
    <t>income</t>
  </si>
  <si>
    <t>upper</t>
  </si>
  <si>
    <t>ev's</t>
  </si>
  <si>
    <t>exist</t>
  </si>
  <si>
    <t>cease</t>
  </si>
  <si>
    <t>democracy</t>
  </si>
  <si>
    <t>pushing</t>
  </si>
  <si>
    <t>tired</t>
  </si>
  <si>
    <t>bullying</t>
  </si>
  <si>
    <t>lying</t>
  </si>
  <si>
    <t>inhumanity</t>
  </si>
  <si>
    <t>cruelty</t>
  </si>
  <si>
    <t>normalized</t>
  </si>
  <si>
    <t>minions</t>
  </si>
  <si>
    <t>clown</t>
  </si>
  <si>
    <t>orange</t>
  </si>
  <si>
    <t>focus</t>
  </si>
  <si>
    <t>reasonable</t>
  </si>
  <si>
    <t>abused</t>
  </si>
  <si>
    <t>grant</t>
  </si>
  <si>
    <t>story</t>
  </si>
  <si>
    <t>guessing</t>
  </si>
  <si>
    <t>expenses</t>
  </si>
  <si>
    <t>regarding</t>
  </si>
  <si>
    <t>comment</t>
  </si>
  <si>
    <t>sundays</t>
  </si>
  <si>
    <t>saturdays</t>
  </si>
  <si>
    <t>hella</t>
  </si>
  <si>
    <t>boy</t>
  </si>
  <si>
    <t>weekend</t>
  </si>
  <si>
    <t>gotta</t>
  </si>
  <si>
    <t>ion</t>
  </si>
  <si>
    <t>god</t>
  </si>
  <si>
    <t>thank</t>
  </si>
  <si>
    <t>extra</t>
  </si>
  <si>
    <t>wave</t>
  </si>
  <si>
    <t>heat</t>
  </si>
  <si>
    <t>northwest</t>
  </si>
  <si>
    <t>hidden</t>
  </si>
  <si>
    <t>rescued</t>
  </si>
  <si>
    <t>turkish</t>
  </si>
  <si>
    <t>quake</t>
  </si>
  <si>
    <t>magnitude</t>
  </si>
  <si>
    <t>yesterday</t>
  </si>
  <si>
    <t>debris</t>
  </si>
  <si>
    <t>digging</t>
  </si>
  <si>
    <t>spent</t>
  </si>
  <si>
    <t>rescue</t>
  </si>
  <si>
    <t>thousands</t>
  </si>
  <si>
    <t>racing</t>
  </si>
  <si>
    <t>rescuers</t>
  </si>
  <si>
    <t>sight</t>
  </si>
  <si>
    <t>soars</t>
  </si>
  <si>
    <t>sonny</t>
  </si>
  <si>
    <t>spaghetti</t>
  </si>
  <si>
    <t>tons</t>
  </si>
  <si>
    <t>godfather</t>
  </si>
  <si>
    <t>scene</t>
  </si>
  <si>
    <t>hawaiifire</t>
  </si>
  <si>
    <t>landscape</t>
  </si>
  <si>
    <t>beautiful</t>
  </si>
  <si>
    <t>life</t>
  </si>
  <si>
    <t>devastation</t>
  </si>
  <si>
    <t>local's</t>
  </si>
  <si>
    <t>besides</t>
  </si>
  <si>
    <t>donate</t>
  </si>
  <si>
    <t>pray</t>
  </si>
  <si>
    <t>morning</t>
  </si>
  <si>
    <t>south</t>
  </si>
  <si>
    <t>january</t>
  </si>
  <si>
    <t>mounts</t>
  </si>
  <si>
    <t>xi</t>
  </si>
  <si>
    <t>outbreak</t>
  </si>
  <si>
    <t>demon</t>
  </si>
  <si>
    <t>contain</t>
  </si>
  <si>
    <t>grinding</t>
  </si>
  <si>
    <t>mrexp</t>
  </si>
  <si>
    <t>exprealty</t>
  </si>
  <si>
    <t>realestateagent</t>
  </si>
  <si>
    <t>realestate</t>
  </si>
  <si>
    <t>realtorlife</t>
  </si>
  <si>
    <t>realtor</t>
  </si>
  <si>
    <t>worth</t>
  </si>
  <si>
    <t>making</t>
  </si>
  <si>
    <t>deal</t>
  </si>
  <si>
    <t>client</t>
  </si>
  <si>
    <t>week</t>
  </si>
  <si>
    <t>late</t>
  </si>
  <si>
    <t>career</t>
  </si>
  <si>
    <t>easy</t>
  </si>
  <si>
    <t>professional</t>
  </si>
  <si>
    <t>estate</t>
  </si>
  <si>
    <t>disappointed</t>
  </si>
  <si>
    <t>odds</t>
  </si>
  <si>
    <t>change</t>
  </si>
  <si>
    <t>praying</t>
  </si>
  <si>
    <t>courtroom</t>
  </si>
  <si>
    <t>trial</t>
  </si>
  <si>
    <t>andy</t>
  </si>
  <si>
    <t>unemployment</t>
  </si>
  <si>
    <t>half</t>
  </si>
  <si>
    <t>items</t>
  </si>
  <si>
    <t>children</t>
  </si>
  <si>
    <t>sales</t>
  </si>
  <si>
    <t>nicole</t>
  </si>
  <si>
    <t>ian</t>
  </si>
  <si>
    <t>recovery</t>
  </si>
  <si>
    <t>engaged</t>
  </si>
  <si>
    <t>surplus</t>
  </si>
  <si>
    <t>inside</t>
  </si>
  <si>
    <t>friends</t>
  </si>
  <si>
    <t>ill</t>
  </si>
  <si>
    <t>chronically</t>
  </si>
  <si>
    <t>disabled</t>
  </si>
  <si>
    <t>hi</t>
  </si>
  <si>
    <t>stopped</t>
  </si>
  <si>
    <t>pays</t>
  </si>
  <si>
    <t>collected</t>
  </si>
  <si>
    <t>majority</t>
  </si>
  <si>
    <t>traffic</t>
  </si>
  <si>
    <t>holding</t>
  </si>
  <si>
    <t>passing</t>
  </si>
  <si>
    <t>ready</t>
  </si>
  <si>
    <t>mates</t>
  </si>
  <si>
    <t>band</t>
  </si>
  <si>
    <t>father</t>
  </si>
  <si>
    <t>offramp</t>
  </si>
  <si>
    <t>booths</t>
  </si>
  <si>
    <t>duii</t>
  </si>
  <si>
    <t>opposition</t>
  </si>
  <si>
    <t>regard</t>
  </si>
  <si>
    <t>tweets</t>
  </si>
  <si>
    <t>annoying</t>
  </si>
  <si>
    <t>pastes</t>
  </si>
  <si>
    <t>copies</t>
  </si>
  <si>
    <t>nicelynice4</t>
  </si>
  <si>
    <t>renewal</t>
  </si>
  <si>
    <t>registration</t>
  </si>
  <si>
    <t>annual</t>
  </si>
  <si>
    <t>similar</t>
  </si>
  <si>
    <t>cameras</t>
  </si>
  <si>
    <t>ala</t>
  </si>
  <si>
    <t>based</t>
  </si>
  <si>
    <t>tracking</t>
  </si>
  <si>
    <t>something</t>
  </si>
  <si>
    <t>word</t>
  </si>
  <si>
    <t>credibility</t>
  </si>
  <si>
    <t>source</t>
  </si>
  <si>
    <t>primarily</t>
  </si>
  <si>
    <t>industry</t>
  </si>
  <si>
    <t>excuse</t>
  </si>
  <si>
    <t>kids</t>
  </si>
  <si>
    <t>basis</t>
  </si>
  <si>
    <t>biannual</t>
  </si>
  <si>
    <t>developer</t>
  </si>
  <si>
    <t>account</t>
  </si>
  <si>
    <t>reading</t>
  </si>
  <si>
    <t>sleeping</t>
  </si>
  <si>
    <t>face</t>
  </si>
  <si>
    <t>lines</t>
  </si>
  <si>
    <t>realized</t>
  </si>
  <si>
    <t>recently</t>
  </si>
  <si>
    <t>expressions</t>
  </si>
  <si>
    <t>facial</t>
  </si>
  <si>
    <t>fact</t>
  </si>
  <si>
    <t>younger</t>
  </si>
  <si>
    <t>mistaken</t>
  </si>
  <si>
    <t>earnings</t>
  </si>
  <si>
    <t>showing</t>
  </si>
  <si>
    <t>report</t>
  </si>
  <si>
    <t>below</t>
  </si>
  <si>
    <t>court</t>
  </si>
  <si>
    <t>business</t>
  </si>
  <si>
    <t>firms</t>
  </si>
  <si>
    <t>top</t>
  </si>
  <si>
    <t>recruiting</t>
  </si>
  <si>
    <t>million</t>
  </si>
  <si>
    <t>john</t>
  </si>
  <si>
    <t>jane</t>
  </si>
  <si>
    <t>alleges</t>
  </si>
  <si>
    <t>whistleblower</t>
  </si>
  <si>
    <t>gazan</t>
  </si>
  <si>
    <t>reporting</t>
  </si>
  <si>
    <t>avoid</t>
  </si>
  <si>
    <t>derivative</t>
  </si>
  <si>
    <t>resorts</t>
  </si>
  <si>
    <t>nyt</t>
  </si>
  <si>
    <t>orpol</t>
  </si>
  <si>
    <t>orleg</t>
  </si>
  <si>
    <t>insiders</t>
  </si>
  <si>
    <t>wannabes</t>
  </si>
  <si>
    <t>moves</t>
  </si>
  <si>
    <t>administrator</t>
  </si>
  <si>
    <t>tank</t>
  </si>
  <si>
    <t>realize</t>
  </si>
  <si>
    <t>terrorist</t>
  </si>
  <si>
    <t>attention</t>
  </si>
  <si>
    <t>bring</t>
  </si>
  <si>
    <t>difficult</t>
  </si>
  <si>
    <t>discuss</t>
  </si>
  <si>
    <t>conference</t>
  </si>
  <si>
    <t>press</t>
  </si>
  <si>
    <t>postgame</t>
  </si>
  <si>
    <t>paused</t>
  </si>
  <si>
    <t>tua</t>
  </si>
  <si>
    <t>qb</t>
  </si>
  <si>
    <t>question</t>
  </si>
  <si>
    <t>answering</t>
  </si>
  <si>
    <t>dujour</t>
  </si>
  <si>
    <t>tool</t>
  </si>
  <si>
    <t>depopulation</t>
  </si>
  <si>
    <t>worldeconomicforum</t>
  </si>
  <si>
    <t>bitcoin</t>
  </si>
  <si>
    <t>approving</t>
  </si>
  <si>
    <t>definitely</t>
  </si>
  <si>
    <t>sec</t>
  </si>
  <si>
    <t>sand</t>
  </si>
  <si>
    <t>head</t>
  </si>
  <si>
    <t>carry</t>
  </si>
  <si>
    <t>calm</t>
  </si>
  <si>
    <t>spoileralert</t>
  </si>
  <si>
    <t>enjoy</t>
  </si>
  <si>
    <t>class</t>
  </si>
  <si>
    <t>dear</t>
  </si>
  <si>
    <t>tremendously</t>
  </si>
  <si>
    <t>reduced</t>
  </si>
  <si>
    <t>effective</t>
  </si>
  <si>
    <t>safe</t>
  </si>
  <si>
    <t>except</t>
  </si>
  <si>
    <t>okay</t>
  </si>
  <si>
    <t>communities</t>
  </si>
  <si>
    <t>homeless</t>
  </si>
  <si>
    <t>drove</t>
  </si>
  <si>
    <t>currently</t>
  </si>
  <si>
    <t>crusades</t>
  </si>
  <si>
    <t>trending</t>
  </si>
  <si>
    <t>ai</t>
  </si>
  <si>
    <t>computers</t>
  </si>
  <si>
    <t>looking</t>
  </si>
  <si>
    <t>fugly</t>
  </si>
  <si>
    <t>badly</t>
  </si>
  <si>
    <t>posted</t>
  </si>
  <si>
    <t>maria</t>
  </si>
  <si>
    <t>evident</t>
  </si>
  <si>
    <t>hair</t>
  </si>
  <si>
    <t>infect</t>
  </si>
  <si>
    <t>upon</t>
  </si>
  <si>
    <t>allies</t>
  </si>
  <si>
    <t>nusra</t>
  </si>
  <si>
    <t>isis</t>
  </si>
  <si>
    <t>regime's</t>
  </si>
  <si>
    <t>american</t>
  </si>
  <si>
    <t>afterwards</t>
  </si>
  <si>
    <t>pod</t>
  </si>
  <si>
    <t>placed</t>
  </si>
  <si>
    <t>given</t>
  </si>
  <si>
    <t>minutes</t>
  </si>
  <si>
    <t>space</t>
  </si>
  <si>
    <t>tlj</t>
  </si>
  <si>
    <t>gear</t>
  </si>
  <si>
    <t>protective</t>
  </si>
  <si>
    <t>nose</t>
  </si>
  <si>
    <t>mouths</t>
  </si>
  <si>
    <t>masks</t>
  </si>
  <si>
    <t>chewie</t>
  </si>
  <si>
    <t>such</t>
  </si>
  <si>
    <t>asteroids</t>
  </si>
  <si>
    <t>genocide</t>
  </si>
  <si>
    <t>problem</t>
  </si>
  <si>
    <t>inherent</t>
  </si>
  <si>
    <t>nazism</t>
  </si>
  <si>
    <t>exception</t>
  </si>
  <si>
    <t>theory</t>
  </si>
  <si>
    <t>looks</t>
  </si>
  <si>
    <t>political</t>
  </si>
  <si>
    <t>masquerading</t>
  </si>
  <si>
    <t>dictatorship</t>
  </si>
  <si>
    <t>fascism</t>
  </si>
  <si>
    <t>large</t>
  </si>
  <si>
    <t>ideology</t>
  </si>
  <si>
    <t>field</t>
  </si>
  <si>
    <t>unevens</t>
  </si>
  <si>
    <t>anything</t>
  </si>
  <si>
    <t>toll's</t>
  </si>
  <si>
    <t>payment</t>
  </si>
  <si>
    <t>monthly</t>
  </si>
  <si>
    <t>service</t>
  </si>
  <si>
    <t>streaming</t>
  </si>
  <si>
    <t>unless</t>
  </si>
  <si>
    <t>behalf</t>
  </si>
  <si>
    <t>afford</t>
  </si>
  <si>
    <t>align</t>
  </si>
  <si>
    <t>stars</t>
  </si>
  <si>
    <t>felt</t>
  </si>
  <si>
    <t>healthy</t>
  </si>
  <si>
    <t>window</t>
  </si>
  <si>
    <t>transfer</t>
  </si>
  <si>
    <t>cup</t>
  </si>
  <si>
    <t>open</t>
  </si>
  <si>
    <t>rsl</t>
  </si>
  <si>
    <t>exit</t>
  </si>
  <si>
    <t>disappointing</t>
  </si>
  <si>
    <t>performance</t>
  </si>
  <si>
    <t>league</t>
  </si>
  <si>
    <t>team's</t>
  </si>
  <si>
    <t>management</t>
  </si>
  <si>
    <t>roster</t>
  </si>
  <si>
    <t>offseason</t>
  </si>
  <si>
    <t>poor</t>
  </si>
  <si>
    <t>injuries</t>
  </si>
  <si>
    <t>slew</t>
  </si>
  <si>
    <t>including</t>
  </si>
  <si>
    <t>gather</t>
  </si>
  <si>
    <t>visit</t>
  </si>
  <si>
    <t>statewide</t>
  </si>
  <si>
    <t>site</t>
  </si>
  <si>
    <t>actual</t>
  </si>
  <si>
    <t>sport</t>
  </si>
  <si>
    <t>combat</t>
  </si>
  <si>
    <t>boxing</t>
  </si>
  <si>
    <t>kill</t>
  </si>
  <si>
    <t>accidentally</t>
  </si>
  <si>
    <t>drunk</t>
  </si>
  <si>
    <t>fam</t>
  </si>
  <si>
    <t>lot</t>
  </si>
  <si>
    <t>yeah</t>
  </si>
  <si>
    <t>damn</t>
  </si>
  <si>
    <t>closest</t>
  </si>
  <si>
    <t>raise</t>
  </si>
  <si>
    <t>helped</t>
  </si>
  <si>
    <t>orphans</t>
  </si>
  <si>
    <t>haruka</t>
  </si>
  <si>
    <t>hero</t>
  </si>
  <si>
    <t>loving</t>
  </si>
  <si>
    <t>kiryu</t>
  </si>
  <si>
    <t>dealt</t>
  </si>
  <si>
    <t>racism</t>
  </si>
  <si>
    <t>retaliate</t>
  </si>
  <si>
    <t>discipline</t>
  </si>
  <si>
    <t>strength</t>
  </si>
  <si>
    <t>tremendous</t>
  </si>
  <si>
    <t>dodgers</t>
  </si>
  <si>
    <t>ten</t>
  </si>
  <si>
    <t>aged</t>
  </si>
  <si>
    <t>struck</t>
  </si>
  <si>
    <t>chronicillness</t>
  </si>
  <si>
    <t>mcas</t>
  </si>
  <si>
    <t>toxins</t>
  </si>
  <si>
    <t>environmental</t>
  </si>
  <si>
    <t>flee</t>
  </si>
  <si>
    <t>pnw</t>
  </si>
  <si>
    <t>horrible</t>
  </si>
  <si>
    <t>anymore</t>
  </si>
  <si>
    <t>crime</t>
  </si>
  <si>
    <t>violent</t>
  </si>
  <si>
    <t>rate</t>
  </si>
  <si>
    <t>fbi</t>
  </si>
  <si>
    <t>entire</t>
  </si>
  <si>
    <t>murders</t>
  </si>
  <si>
    <t>community</t>
  </si>
  <si>
    <t>impact</t>
  </si>
  <si>
    <t>kind</t>
  </si>
  <si>
    <t>perspective</t>
  </si>
  <si>
    <t>shootings</t>
  </si>
  <si>
    <t>mass</t>
  </si>
  <si>
    <t>transportation</t>
  </si>
  <si>
    <t>tunnel</t>
  </si>
  <si>
    <t>perhaps</t>
  </si>
  <si>
    <t>committee</t>
  </si>
  <si>
    <t>appoint</t>
  </si>
  <si>
    <t>wagner</t>
  </si>
  <si>
    <t>coast</t>
  </si>
  <si>
    <t>western</t>
  </si>
  <si>
    <t>town</t>
  </si>
  <si>
    <t>tourist</t>
  </si>
  <si>
    <t>damaged</t>
  </si>
  <si>
    <t>buildings</t>
  </si>
  <si>
    <t>climbed</t>
  </si>
  <si>
    <t>moving</t>
  </si>
  <si>
    <t>fast</t>
  </si>
  <si>
    <t>wake</t>
  </si>
  <si>
    <t>island</t>
  </si>
  <si>
    <t>fled</t>
  </si>
  <si>
    <t>tourists</t>
  </si>
  <si>
    <t>filled</t>
  </si>
  <si>
    <t>centers</t>
  </si>
  <si>
    <t>evacuation</t>
  </si>
  <si>
    <t>declaration</t>
  </si>
  <si>
    <t>major</t>
  </si>
  <si>
    <t>gain</t>
  </si>
  <si>
    <t>died</t>
  </si>
  <si>
    <t>innocents</t>
  </si>
  <si>
    <t>breaks</t>
  </si>
  <si>
    <t>heart</t>
  </si>
  <si>
    <t>senseless</t>
  </si>
  <si>
    <t>absolutely</t>
  </si>
  <si>
    <t>infuriating</t>
  </si>
  <si>
    <t>terrifying</t>
  </si>
  <si>
    <t>patient</t>
  </si>
  <si>
    <t>cancer</t>
  </si>
  <si>
    <t>definetly</t>
  </si>
  <si>
    <t>surrounded</t>
  </si>
  <si>
    <t>math</t>
  </si>
  <si>
    <t>speak</t>
  </si>
  <si>
    <t>saw</t>
  </si>
  <si>
    <t>doctor</t>
  </si>
  <si>
    <t>therapeutic</t>
  </si>
  <si>
    <t>certain</t>
  </si>
  <si>
    <t>aggregate</t>
  </si>
  <si>
    <t>gave</t>
  </si>
  <si>
    <t>doctors</t>
  </si>
  <si>
    <t>card</t>
  </si>
  <si>
    <t>robert</t>
  </si>
  <si>
    <t>suspect</t>
  </si>
  <si>
    <t>searching</t>
  </si>
  <si>
    <t>climbs</t>
  </si>
  <si>
    <t>update</t>
  </si>
  <si>
    <t>cemetery</t>
  </si>
  <si>
    <t>makeshift</t>
  </si>
  <si>
    <t>builds</t>
  </si>
  <si>
    <t>quakes</t>
  </si>
  <si>
    <t>beckett</t>
  </si>
  <si>
    <t>howard</t>
  </si>
  <si>
    <t>mongers</t>
  </si>
  <si>
    <t>starmer</t>
  </si>
  <si>
    <t>keir</t>
  </si>
  <si>
    <t>sunak</t>
  </si>
  <si>
    <t>rishi</t>
  </si>
  <si>
    <t>win</t>
  </si>
  <si>
    <t>shine</t>
  </si>
  <si>
    <t>sun</t>
  </si>
  <si>
    <t>shove</t>
  </si>
  <si>
    <t>tell</t>
  </si>
  <si>
    <t>inevitable</t>
  </si>
  <si>
    <t>certainly</t>
  </si>
  <si>
    <t>seen</t>
  </si>
  <si>
    <t>chemical</t>
  </si>
  <si>
    <t>possibly</t>
  </si>
  <si>
    <t>coverage</t>
  </si>
  <si>
    <t>best</t>
  </si>
  <si>
    <t>addiction</t>
  </si>
  <si>
    <t>adderrall</t>
  </si>
  <si>
    <t>left</t>
  </si>
  <si>
    <t>talking</t>
  </si>
  <si>
    <t>sorry</t>
  </si>
  <si>
    <t>picture</t>
  </si>
  <si>
    <t>dire</t>
  </si>
  <si>
    <t>startlingly</t>
  </si>
  <si>
    <t>painting</t>
  </si>
  <si>
    <t>arrested</t>
  </si>
  <si>
    <t>reporters</t>
  </si>
  <si>
    <t>die</t>
  </si>
  <si>
    <t>livestock</t>
  </si>
  <si>
    <t>chicken</t>
  </si>
  <si>
    <t>reports</t>
  </si>
  <si>
    <t>combined</t>
  </si>
  <si>
    <t>fish</t>
  </si>
  <si>
    <t>full</t>
  </si>
  <si>
    <t>notice</t>
  </si>
  <si>
    <t>ohio</t>
  </si>
  <si>
    <t>runs</t>
  </si>
  <si>
    <t>creek</t>
  </si>
  <si>
    <t>reportedly</t>
  </si>
  <si>
    <t>tiktok</t>
  </si>
  <si>
    <t>available</t>
  </si>
  <si>
    <t>became</t>
  </si>
  <si>
    <t>care</t>
  </si>
  <si>
    <t>virus</t>
  </si>
  <si>
    <t>respiratory</t>
  </si>
  <si>
    <t>communicable</t>
  </si>
  <si>
    <t>desire</t>
  </si>
  <si>
    <t>crazy</t>
  </si>
  <si>
    <t>hospitals</t>
  </si>
  <si>
    <t>whole</t>
  </si>
  <si>
    <t>ivanka</t>
  </si>
  <si>
    <t>persecution</t>
  </si>
  <si>
    <t>deep</t>
  </si>
  <si>
    <t>demonic</t>
  </si>
  <si>
    <t>insidious</t>
  </si>
  <si>
    <t>ones</t>
  </si>
  <si>
    <t>loved</t>
  </si>
  <si>
    <t>38k</t>
  </si>
  <si>
    <t>cos</t>
  </si>
  <si>
    <t>specific</t>
  </si>
  <si>
    <t>date</t>
  </si>
  <si>
    <t>considering</t>
  </si>
  <si>
    <t>murder</t>
  </si>
  <si>
    <t>congress</t>
  </si>
  <si>
    <t>cleansing</t>
  </si>
  <si>
    <t>ethnic</t>
  </si>
  <si>
    <t>complicit</t>
  </si>
  <si>
    <t>skyrocket</t>
  </si>
  <si>
    <t>casualties</t>
  </si>
  <si>
    <t>pedestrian</t>
  </si>
  <si>
    <t>accidents</t>
  </si>
  <si>
    <t>potholes</t>
  </si>
  <si>
    <t>watch</t>
  </si>
  <si>
    <t>portlanders</t>
  </si>
  <si>
    <t>without</t>
  </si>
  <si>
    <t>route</t>
  </si>
  <si>
    <t>backroad</t>
  </si>
  <si>
    <t>twisted</t>
  </si>
  <si>
    <t>plan</t>
  </si>
  <si>
    <t>ng</t>
  </si>
  <si>
    <t>curtailed</t>
  </si>
  <si>
    <t>prospect</t>
  </si>
  <si>
    <t>imo</t>
  </si>
  <si>
    <t>excludes</t>
  </si>
  <si>
    <t>entirely</t>
  </si>
  <si>
    <t>exports</t>
  </si>
  <si>
    <t>lng</t>
  </si>
  <si>
    <t>wrt</t>
  </si>
  <si>
    <t>framing</t>
  </si>
  <si>
    <t>place</t>
  </si>
  <si>
    <t>odot</t>
  </si>
  <si>
    <t>citizens'</t>
  </si>
  <si>
    <t>requires</t>
  </si>
  <si>
    <t>initiative</t>
  </si>
  <si>
    <t>ip</t>
  </si>
  <si>
    <t>steps</t>
  </si>
  <si>
    <t>disasters</t>
  </si>
  <si>
    <t>natural</t>
  </si>
  <si>
    <t>pm</t>
  </si>
  <si>
    <t>tuesday</t>
  </si>
  <si>
    <t>identified</t>
  </si>
  <si>
    <t>publicly</t>
  </si>
  <si>
    <t>victims</t>
  </si>
  <si>
    <t>green</t>
  </si>
  <si>
    <t>josh</t>
  </si>
  <si>
    <t>gov</t>
  </si>
  <si>
    <t>surpassed</t>
  </si>
  <si>
    <t>happened</t>
  </si>
  <si>
    <t>damage</t>
  </si>
  <si>
    <t>residents</t>
  </si>
  <si>
    <t>fewer</t>
  </si>
  <si>
    <t>recorded</t>
  </si>
  <si>
    <t>metro</t>
  </si>
  <si>
    <t>powerful</t>
  </si>
  <si>
    <t>marks</t>
  </si>
  <si>
    <t>tornadoes</t>
  </si>
  <si>
    <t>rare</t>
  </si>
  <si>
    <t>extremely</t>
  </si>
  <si>
    <t>hathaway</t>
  </si>
  <si>
    <t>berkshire</t>
  </si>
  <si>
    <t>buffett's</t>
  </si>
  <si>
    <t>warren</t>
  </si>
  <si>
    <t>owned</t>
  </si>
  <si>
    <t>utility</t>
  </si>
  <si>
    <t>judgment</t>
  </si>
  <si>
    <t>dollar</t>
  </si>
  <si>
    <t>multimillion</t>
  </si>
  <si>
    <t>pacificcorp</t>
  </si>
  <si>
    <t>corporate</t>
  </si>
  <si>
    <t>epitome</t>
  </si>
  <si>
    <t>lay</t>
  </si>
  <si>
    <t>expensive</t>
  </si>
  <si>
    <t>california</t>
  </si>
  <si>
    <t>forcing</t>
  </si>
  <si>
    <t>longer</t>
  </si>
  <si>
    <t>blizzard</t>
  </si>
  <si>
    <t>single</t>
  </si>
  <si>
    <t>highest</t>
  </si>
  <si>
    <t>country's</t>
  </si>
  <si>
    <t>troops</t>
  </si>
  <si>
    <t>benicia</t>
  </si>
  <si>
    <t>dude</t>
  </si>
  <si>
    <t>cash</t>
  </si>
  <si>
    <t>modes</t>
  </si>
  <si>
    <t>non</t>
  </si>
  <si>
    <t>using</t>
  </si>
  <si>
    <t>safety</t>
  </si>
  <si>
    <t>transit</t>
  </si>
  <si>
    <t>bike</t>
  </si>
  <si>
    <t>walk</t>
  </si>
  <si>
    <t>alternative</t>
  </si>
  <si>
    <t>whether</t>
  </si>
  <si>
    <t>ask</t>
  </si>
  <si>
    <t>highways</t>
  </si>
  <si>
    <t>widen</t>
  </si>
  <si>
    <t>spending</t>
  </si>
  <si>
    <t>illusion</t>
  </si>
  <si>
    <t>poll</t>
  </si>
  <si>
    <t>push</t>
  </si>
  <si>
    <t>running</t>
  </si>
  <si>
    <t>nope</t>
  </si>
  <si>
    <t>build</t>
  </si>
  <si>
    <t>wanted</t>
  </si>
  <si>
    <t>doj</t>
  </si>
  <si>
    <t>investigating</t>
  </si>
  <si>
    <t>general</t>
  </si>
  <si>
    <t>attorney</t>
  </si>
  <si>
    <t>sounds</t>
  </si>
  <si>
    <t>rikers</t>
  </si>
  <si>
    <t>release</t>
  </si>
  <si>
    <t>calls</t>
  </si>
  <si>
    <t>plus</t>
  </si>
  <si>
    <t>processes</t>
  </si>
  <si>
    <t>autoimmune</t>
  </si>
  <si>
    <t>various</t>
  </si>
  <si>
    <t>turn</t>
  </si>
  <si>
    <t>materials</t>
  </si>
  <si>
    <t>pathogenic</t>
  </si>
  <si>
    <t>bombarding</t>
  </si>
  <si>
    <t>receptors</t>
  </si>
  <si>
    <t>modifying</t>
  </si>
  <si>
    <t>tasked</t>
  </si>
  <si>
    <t>lives</t>
  </si>
  <si>
    <t>nostalgia</t>
  </si>
  <si>
    <t>yemen</t>
  </si>
  <si>
    <t>saudis</t>
  </si>
  <si>
    <t>backing</t>
  </si>
  <si>
    <t>worse</t>
  </si>
  <si>
    <t>saying</t>
  </si>
  <si>
    <t>abandoned</t>
  </si>
  <si>
    <t>evacuate</t>
  </si>
  <si>
    <t>yourself</t>
  </si>
  <si>
    <t>statistics</t>
  </si>
  <si>
    <t>divides</t>
  </si>
  <si>
    <t>prolonged</t>
  </si>
  <si>
    <t>mine</t>
  </si>
  <si>
    <t>lens_tales</t>
  </si>
  <si>
    <t>untenable</t>
  </si>
  <si>
    <t>professionals</t>
  </si>
  <si>
    <t>healthcare</t>
  </si>
  <si>
    <t>ambulance</t>
  </si>
  <si>
    <t>apartheid</t>
  </si>
  <si>
    <t>states</t>
  </si>
  <si>
    <t>jumps</t>
  </si>
  <si>
    <t>rejects</t>
  </si>
  <si>
    <t>gate</t>
  </si>
  <si>
    <t>golden</t>
  </si>
  <si>
    <t>napa</t>
  </si>
  <si>
    <t>oakland</t>
  </si>
  <si>
    <t>francisco</t>
  </si>
  <si>
    <t>jose</t>
  </si>
  <si>
    <t>went</t>
  </si>
  <si>
    <t>berkeley</t>
  </si>
  <si>
    <t>share</t>
  </si>
  <si>
    <t>follow</t>
  </si>
  <si>
    <t>outlets</t>
  </si>
  <si>
    <t>talk</t>
  </si>
  <si>
    <t>massacres</t>
  </si>
  <si>
    <t>heinous</t>
  </si>
  <si>
    <t>killer</t>
  </si>
  <si>
    <t>policy</t>
  </si>
  <si>
    <t>ev</t>
  </si>
  <si>
    <t>cars</t>
  </si>
  <si>
    <t>gas</t>
  </si>
  <si>
    <t>banned</t>
  </si>
  <si>
    <t>governor</t>
  </si>
  <si>
    <t>samhouston92</t>
  </si>
  <si>
    <t>guessed</t>
  </si>
  <si>
    <t>unvaccinated</t>
  </si>
  <si>
    <t>particularly</t>
  </si>
  <si>
    <t>inflicts</t>
  </si>
  <si>
    <t>spreads</t>
  </si>
  <si>
    <t>disease</t>
  </si>
  <si>
    <t>dropped</t>
  </si>
  <si>
    <t>bombs</t>
  </si>
  <si>
    <t>amount</t>
  </si>
  <si>
    <t>google</t>
  </si>
  <si>
    <t>contributions</t>
  </si>
  <si>
    <t>monstrosities</t>
  </si>
  <si>
    <t>spots</t>
  </si>
  <si>
    <t>brown</t>
  </si>
  <si>
    <t>grass</t>
  </si>
  <si>
    <t>fresh</t>
  </si>
  <si>
    <t>yard</t>
  </si>
  <si>
    <t>roll</t>
  </si>
  <si>
    <t>cool</t>
  </si>
  <si>
    <t>pretty</t>
  </si>
  <si>
    <t>construction</t>
  </si>
  <si>
    <t>shoddy</t>
  </si>
  <si>
    <t>tolerance</t>
  </si>
  <si>
    <t>response</t>
  </si>
  <si>
    <t>slow</t>
  </si>
  <si>
    <t>criticism</t>
  </si>
  <si>
    <t>growing</t>
  </si>
  <si>
    <t>ankara</t>
  </si>
  <si>
    <t>passed</t>
  </si>
  <si>
    <t>ed</t>
  </si>
  <si>
    <t>bureau</t>
  </si>
  <si>
    <t>beijing</t>
  </si>
  <si>
    <t>writes</t>
  </si>
  <si>
    <t>customers</t>
  </si>
  <si>
    <t>reopening</t>
  </si>
  <si>
    <t>chaotic</t>
  </si>
  <si>
    <t>spread</t>
  </si>
  <si>
    <t>uncontrolled</t>
  </si>
  <si>
    <t>brutal</t>
  </si>
  <si>
    <t>lockdowns</t>
  </si>
  <si>
    <t>retirement</t>
  </si>
  <si>
    <t>lifestyle</t>
  </si>
  <si>
    <t>millionaire</t>
  </si>
  <si>
    <t>lavish</t>
  </si>
  <si>
    <t>fund</t>
  </si>
  <si>
    <t>earl</t>
  </si>
  <si>
    <t>representative</t>
  </si>
  <si>
    <t>or3</t>
  </si>
  <si>
    <t>unknown</t>
  </si>
  <si>
    <t>largely</t>
  </si>
  <si>
    <t>official</t>
  </si>
  <si>
    <t>questioned</t>
  </si>
  <si>
    <t>netherlands</t>
  </si>
  <si>
    <t>radio</t>
  </si>
  <si>
    <t>investigation</t>
  </si>
  <si>
    <t>reached</t>
  </si>
  <si>
    <t>haitian</t>
  </si>
  <si>
    <t>february</t>
  </si>
  <si>
    <t>mid</t>
  </si>
  <si>
    <t>findings</t>
  </si>
  <si>
    <t>figures</t>
  </si>
  <si>
    <t>someone</t>
  </si>
  <si>
    <t>somehow</t>
  </si>
  <si>
    <t>whose</t>
  </si>
  <si>
    <t>seconds</t>
  </si>
  <si>
    <t>claimed</t>
  </si>
  <si>
    <t>approximately</t>
  </si>
  <si>
    <t>30k</t>
  </si>
  <si>
    <t>ministry</t>
  </si>
  <si>
    <t>according</t>
  </si>
  <si>
    <t>washingtoncountyoregon</t>
  </si>
  <si>
    <t>kingcountywa</t>
  </si>
  <si>
    <t>multnomahcounty</t>
  </si>
  <si>
    <t>consultation</t>
  </si>
  <si>
    <t>seller</t>
  </si>
  <si>
    <t>buyer</t>
  </si>
  <si>
    <t>price</t>
  </si>
  <si>
    <t>premium</t>
  </si>
  <si>
    <t>fiddle</t>
  </si>
  <si>
    <t>sheesh</t>
  </si>
  <si>
    <t>grey</t>
  </si>
  <si>
    <t>chase</t>
  </si>
  <si>
    <t>reason</t>
  </si>
  <si>
    <t>issues</t>
  </si>
  <si>
    <t>coach</t>
  </si>
  <si>
    <t>players</t>
  </si>
  <si>
    <t>mean</t>
  </si>
  <si>
    <t>season</t>
  </si>
  <si>
    <t>critical</t>
  </si>
  <si>
    <t>blazers</t>
  </si>
  <si>
    <t>pods</t>
  </si>
  <si>
    <t>listing</t>
  </si>
  <si>
    <t>florida</t>
  </si>
  <si>
    <t>worried</t>
  </si>
  <si>
    <t>mad</t>
  </si>
  <si>
    <t>wa</t>
  </si>
  <si>
    <t>moved</t>
  </si>
  <si>
    <t>river</t>
  </si>
  <si>
    <t>columbia</t>
  </si>
  <si>
    <t>touched</t>
  </si>
  <si>
    <t>injuring</t>
  </si>
  <si>
    <t>killing</t>
  </si>
  <si>
    <t>rated</t>
  </si>
  <si>
    <t>rockies</t>
  </si>
  <si>
    <t>west</t>
  </si>
  <si>
    <t>anniversary</t>
  </si>
  <si>
    <t>51st</t>
  </si>
  <si>
    <t>resist</t>
  </si>
  <si>
    <t>regret</t>
  </si>
  <si>
    <t>operation</t>
  </si>
  <si>
    <t>interrupt</t>
  </si>
  <si>
    <t>signal</t>
  </si>
  <si>
    <t>send</t>
  </si>
  <si>
    <t>gets</t>
  </si>
  <si>
    <t>apple</t>
  </si>
  <si>
    <t>nothing</t>
  </si>
  <si>
    <t>markets</t>
  </si>
  <si>
    <t>competition</t>
  </si>
  <si>
    <t>eu</t>
  </si>
  <si>
    <t>higher</t>
  </si>
  <si>
    <t>far</t>
  </si>
  <si>
    <t>organization</t>
  </si>
  <si>
    <t>invaded</t>
  </si>
  <si>
    <t>months</t>
  </si>
  <si>
    <t>confirmed</t>
  </si>
  <si>
    <t>nations</t>
  </si>
  <si>
    <t>criminals</t>
  </si>
  <si>
    <t>ing</t>
  </si>
  <si>
    <t>apartment</t>
  </si>
  <si>
    <t>desert</t>
  </si>
  <si>
    <t>saddles</t>
  </si>
  <si>
    <t>blazing</t>
  </si>
  <si>
    <t>step</t>
  </si>
  <si>
    <t>proactive</t>
  </si>
  <si>
    <t>chapters</t>
  </si>
  <si>
    <t>nw</t>
  </si>
  <si>
    <t>starts</t>
  </si>
  <si>
    <t>seems</t>
  </si>
  <si>
    <t>responsibilities</t>
  </si>
  <si>
    <t>presidential</t>
  </si>
  <si>
    <t>strain</t>
  </si>
  <si>
    <t>former</t>
  </si>
  <si>
    <t>disrespected</t>
  </si>
  <si>
    <t>soldier</t>
  </si>
  <si>
    <t>fallen</t>
  </si>
  <si>
    <t>sir</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</si>
  <si>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</si>
  <si>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</si>
  <si>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</si>
  <si>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</si>
  <si>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</si>
  <si>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</si>
  <si>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</si>
  <si>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</si>
  <si>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</si>
  <si>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</si>
  <si>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</si>
  <si>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</si>
  <si>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</si>
  <si>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</si>
  <si>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</si>
  <si>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</si>
  <si>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</si>
  <si>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</si>
  <si>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</si>
  <si>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</si>
  <si>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</si>
  <si>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</si>
  <si>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</si>
  <si>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</si>
  <si>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</si>
  <si>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</si>
  <si>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</si>
  <si>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</si>
  <si>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</si>
  <si>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</si>
  <si>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</si>
  <si>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</si>
  <si>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</si>
  <si>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</si>
  <si>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</si>
  <si>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</si>
  <si>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</si>
  <si>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</si>
  <si>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</si>
  <si>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</si>
  <si>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</si>
  <si>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</si>
  <si>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</si>
  <si>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</si>
  <si>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</si>
  <si>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</si>
  <si>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</si>
  <si>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</si>
  <si>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</si>
  <si>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</si>
  <si>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</si>
  <si>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</si>
  <si>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</si>
  <si>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</si>
  <si>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</si>
  <si>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</si>
  <si>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</si>
  <si>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</si>
  <si>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</si>
  <si>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</si>
  <si>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</si>
  <si>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</si>
  <si>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</si>
  <si>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</si>
  <si>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</si>
  <si>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</si>
  <si>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</si>
  <si>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</si>
  <si>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</si>
  <si>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</si>
  <si>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</si>
  <si>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</si>
  <si>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</si>
  <si>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</si>
  <si>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</si>
  <si>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</si>
  <si>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</si>
  <si>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</si>
  <si>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</si>
  <si>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</si>
  <si>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</si>
  <si>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</si>
  <si>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</si>
  <si>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</si>
  <si>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</si>
  <si>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</si>
  <si>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</si>
  <si>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</si>
  <si>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</si>
  <si>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</si>
  <si>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</si>
  <si>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</si>
  <si>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</si>
  <si>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</si>
  <si>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</si>
  <si>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</si>
  <si>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</si>
  <si>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</si>
  <si>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</si>
  <si>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</si>
  <si>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</si>
  <si>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</si>
  <si>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</si>
  <si>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</si>
  <si>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</si>
  <si>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</si>
  <si>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</si>
  <si>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</si>
  <si>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</si>
  <si>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</si>
  <si>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</si>
  <si>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</si>
  <si>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</si>
  <si>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</si>
  <si>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</si>
  <si>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</si>
  <si>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</si>
  <si>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</si>
  <si>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</si>
  <si>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</si>
  <si>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</si>
  <si>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</si>
  <si>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</si>
  <si>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</si>
  <si>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</si>
  <si>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</si>
  <si>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</si>
  <si>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</si>
  <si>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</si>
  <si>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</si>
  <si>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</si>
  <si>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</si>
  <si>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</si>
  <si>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</si>
  <si>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</si>
  <si>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</si>
  <si>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</si>
  <si>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</si>
  <si>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</si>
  <si>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</si>
  <si>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</si>
  <si>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</si>
  <si>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</si>
  <si>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</si>
  <si>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</si>
  <si>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</si>
  <si>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</si>
  <si>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</si>
  <si>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</si>
  <si>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</si>
  <si>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</si>
  <si>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</si>
  <si>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</si>
  <si>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</si>
  <si>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</si>
  <si>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</si>
  <si>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</si>
  <si>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</si>
  <si>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</si>
  <si>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</si>
  <si>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</si>
  <si>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</si>
  <si>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</si>
  <si>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</si>
  <si>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</si>
  <si>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</si>
  <si>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</si>
  <si>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</si>
  <si>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</si>
  <si>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</si>
  <si>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</si>
  <si>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</si>
  <si>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</si>
  <si>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</si>
  <si>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</si>
  <si>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</si>
  <si>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</si>
  <si>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</si>
  <si>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</si>
  <si>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</si>
  <si>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</si>
  <si>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</si>
  <si>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</si>
  <si>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</si>
  <si>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</si>
  <si>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</si>
  <si>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</si>
  <si>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</si>
  <si>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</si>
  <si>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</si>
  <si>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</si>
  <si>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</si>
  <si>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</si>
  <si>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</si>
  <si>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</si>
  <si>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</si>
  <si>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</si>
  <si>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</si>
  <si>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</si>
  <si>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</si>
  <si>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</si>
  <si>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</si>
  <si>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</si>
  <si>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</si>
  <si>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</si>
  <si>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</si>
  <si>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</si>
  <si>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</si>
  <si>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</si>
  <si>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</si>
  <si>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</si>
  <si>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</si>
  <si>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</si>
  <si>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</si>
  <si>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</si>
  <si>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</si>
  <si>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</si>
  <si>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</si>
  <si>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</si>
  <si>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</si>
  <si>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</si>
  <si>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</si>
  <si>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</si>
  <si>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</si>
  <si>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</si>
  <si>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</si>
  <si>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</si>
  <si>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</si>
  <si>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</si>
  <si>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</si>
  <si>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</si>
  <si>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</si>
  <si>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</si>
  <si>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</si>
  <si>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</si>
  <si>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</si>
  <si>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</si>
  <si>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</si>
  <si>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</si>
  <si>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</si>
  <si>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</si>
  <si>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</si>
  <si>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</si>
  <si>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</si>
  <si>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</si>
  <si>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</si>
  <si>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</si>
  <si>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</si>
  <si>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</si>
  <si>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</si>
  <si>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</si>
  <si>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</si>
  <si>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</si>
  <si>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</si>
  <si>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</si>
  <si>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</si>
  <si>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</si>
  <si>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</si>
  <si>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</si>
  <si>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</si>
  <si>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</si>
  <si>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</si>
  <si>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</si>
  <si>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</si>
  <si>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</si>
  <si>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</si>
  <si>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</si>
  <si>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</si>
  <si>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</si>
  <si>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</si>
  <si>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</si>
  <si>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</si>
  <si>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</si>
  <si>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</si>
  <si>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</si>
  <si>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</si>
  <si>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</si>
  <si>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</si>
  <si>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</si>
  <si>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</si>
  <si>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</si>
  <si>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</si>
  <si>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</si>
  <si>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</si>
  <si>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</si>
  <si>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</si>
  <si>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</si>
  <si>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</si>
  <si>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</si>
  <si>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</si>
  <si>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</si>
  <si>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</si>
  <si>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</si>
  <si>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</si>
  <si>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</si>
  <si>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</si>
  <si>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</si>
  <si>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</si>
  <si>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</si>
  <si>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</si>
  <si>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</si>
  <si>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</si>
  <si>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</si>
  <si>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</si>
  <si>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</si>
  <si>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</si>
  <si>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</si>
  <si>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</si>
  <si>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</si>
  <si>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</si>
  <si>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</si>
  <si>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</si>
  <si>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</si>
  <si>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</si>
  <si>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</si>
  <si>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</si>
  <si>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</si>
  <si>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</si>
  <si>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</si>
  <si>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</si>
  <si>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</si>
  <si>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</si>
  <si>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</si>
  <si>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</si>
  <si>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</si>
  <si>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</si>
  <si>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</si>
  <si>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</si>
  <si>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</si>
  <si>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</si>
  <si>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</si>
  <si>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</si>
  <si>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</si>
  <si>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</si>
  <si>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</si>
  <si>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</si>
  <si>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</si>
  <si>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</si>
  <si>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</si>
  <si>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</si>
  <si>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</si>
  <si>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</si>
  <si>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</si>
  <si>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</si>
  <si>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</si>
  <si>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</si>
  <si>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</si>
  <si>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</si>
  <si>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</si>
  <si>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</si>
  <si>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</si>
  <si>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</si>
  <si>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</si>
  <si>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</si>
  <si>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</si>
  <si>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</si>
  <si>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</si>
  <si>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</si>
  <si>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</si>
  <si>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</si>
  <si>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</si>
  <si>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</si>
  <si>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</si>
  <si>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</si>
  <si>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</si>
  <si>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</si>
  <si>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</si>
  <si>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</si>
  <si>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</si>
  <si>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</si>
  <si>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</si>
  <si>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</si>
  <si>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</si>
  <si>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</si>
  <si>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</si>
  <si>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</si>
  <si>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</si>
  <si>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</si>
  <si>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</si>
  <si>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</si>
  <si>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</si>
  <si>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</si>
  <si>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</si>
  <si>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</si>
  <si>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</si>
  <si>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</si>
  <si>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</si>
  <si>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</si>
  <si>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</si>
  <si>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</si>
  <si>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</si>
  <si>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</si>
  <si>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</si>
  <si>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</si>
  <si>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</si>
  <si>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</si>
  <si>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</si>
  <si>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</si>
  <si>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</si>
  <si>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</si>
  <si>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</si>
  <si>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</si>
  <si>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</si>
  <si>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</si>
  <si>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</si>
  <si>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</si>
  <si>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</si>
  <si>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</si>
  <si>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</si>
  <si>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</si>
  <si>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</si>
  <si>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</si>
  <si>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</si>
  <si>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</si>
  <si>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</si>
  <si>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</si>
  <si>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</si>
  <si>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</si>
  <si>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</si>
  <si>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</si>
  <si>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</si>
  <si>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</si>
  <si>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</si>
  <si>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</si>
  <si>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</si>
  <si>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</si>
  <si>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</si>
  <si>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</si>
  <si>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</si>
  <si>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</si>
  <si>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</si>
  <si>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</si>
  <si>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</si>
  <si>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</si>
  <si>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</si>
  <si>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</si>
  <si>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</si>
  <si>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</si>
  <si>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</si>
  <si>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</si>
  <si>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</si>
  <si>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</si>
  <si>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</si>
  <si>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</si>
  <si>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</si>
  <si>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</si>
  <si>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</si>
  <si>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</si>
  <si>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</si>
  <si>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</si>
  <si>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</si>
  <si>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</si>
  <si>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</si>
  <si>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</si>
  <si>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</si>
  <si>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</si>
  <si>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</si>
  <si>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</si>
  <si>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</si>
  <si>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</si>
  <si>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</si>
  <si>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</si>
  <si>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</si>
  <si>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</si>
  <si>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</si>
  <si>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</si>
  <si>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</si>
  <si>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</si>
  <si>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</si>
  <si>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</si>
  <si>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</si>
  <si>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</si>
  <si>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</si>
  <si>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</si>
  <si>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</si>
  <si>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</si>
  <si>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</si>
  <si>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</si>
  <si>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</si>
  <si>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</si>
  <si>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</si>
  <si>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</si>
  <si>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</si>
  <si>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</si>
  <si>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</si>
  <si>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</si>
  <si>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</si>
  <si>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</si>
  <si>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</si>
  <si>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</si>
  <si>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</si>
  <si>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</si>
  <si>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</si>
  <si>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</si>
  <si>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</si>
  <si>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</si>
  <si>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</si>
  <si>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</si>
  <si>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</si>
  <si>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</si>
  <si>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</si>
  <si>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</si>
  <si>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</si>
  <si>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</si>
  <si>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</si>
  <si>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</si>
  <si>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</si>
  <si>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</si>
  <si>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</si>
  <si>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</si>
  <si>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</si>
  <si>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</si>
  <si>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</si>
  <si>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</si>
  <si>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</si>
  <si>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</si>
  <si>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</si>
  <si>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</si>
  <si>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</si>
  <si>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</si>
  <si>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</si>
  <si>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</si>
  <si>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</si>
  <si>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</si>
  <si>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</si>
  <si>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</si>
  <si>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</si>
  <si>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</si>
  <si>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</si>
  <si>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</si>
  <si>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</si>
  <si>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</si>
  <si>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</si>
  <si>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</si>
  <si>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</si>
  <si>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</si>
  <si>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</si>
  <si>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</si>
  <si>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</si>
  <si>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</si>
  <si>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</si>
  <si>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</si>
  <si>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</si>
  <si>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</si>
  <si>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</si>
  <si>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</si>
  <si>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</si>
  <si>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</si>
  <si>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</si>
  <si>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</si>
  <si>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</si>
  <si>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</si>
  <si>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</si>
  <si>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</si>
  <si>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</si>
  <si>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</si>
  <si>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</si>
  <si>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</si>
  <si>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</si>
  <si>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</si>
  <si>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</si>
  <si>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</si>
  <si>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</si>
  <si>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</si>
  <si>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</si>
  <si>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</si>
  <si>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</si>
  <si>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</si>
  <si>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</si>
  <si>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</si>
  <si>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</si>
  <si>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</si>
  <si>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</si>
  <si>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</si>
  <si>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</si>
  <si>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</si>
  <si>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</si>
  <si>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</si>
  <si>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</si>
  <si>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</si>
  <si>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</si>
  <si>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</si>
  <si>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</si>
  <si>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</si>
  <si>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</si>
  <si>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</si>
  <si>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</si>
  <si>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</si>
  <si>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</si>
  <si>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</si>
  <si>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</si>
  <si>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</si>
  <si>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</si>
  <si>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</si>
  <si>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</si>
  <si>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</si>
  <si>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</si>
  <si>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</si>
  <si>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</si>
  <si>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</si>
  <si>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</si>
  <si>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</si>
  <si>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</si>
  <si>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</si>
  <si>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</si>
  <si>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</si>
  <si>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</si>
  <si>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</si>
  <si>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</si>
  <si>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</si>
  <si>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</si>
  <si>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</si>
  <si>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</si>
  <si>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</si>
  <si>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</si>
  <si>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</si>
  <si>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</si>
  <si>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</si>
  <si>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</si>
  <si>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</si>
  <si>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</si>
  <si>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</si>
  <si>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</si>
  <si>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</si>
  <si>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</si>
  <si>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</si>
  <si>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</si>
  <si>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</si>
  <si>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</si>
  <si>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</si>
  <si>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</si>
  <si>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</si>
  <si>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</si>
  <si>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</si>
  <si>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</si>
  <si>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</si>
  <si>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</si>
  <si>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</si>
  <si>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</si>
  <si>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</si>
  <si>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</si>
  <si>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</si>
  <si>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</si>
  <si>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</si>
  <si>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</si>
  <si>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</si>
  <si>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</si>
  <si>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</si>
  <si>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</si>
  <si>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</si>
  <si>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</si>
  <si>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</si>
  <si>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</si>
  <si>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</si>
  <si>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</si>
  <si>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</si>
  <si>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</si>
  <si>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</si>
  <si>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</si>
  <si>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</si>
  <si>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</si>
  <si>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</si>
  <si>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</si>
  <si>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</si>
  <si>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</si>
  <si>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</si>
  <si>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</si>
  <si>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</si>
  <si>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</si>
  <si>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</si>
  <si>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</si>
  <si>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</si>
  <si>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</si>
  <si>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</si>
  <si>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</si>
  <si>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</si>
  <si>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</si>
  <si>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</si>
  <si>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</si>
  <si>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</si>
  <si>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</si>
  <si>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</si>
  <si>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</si>
  <si>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</si>
  <si>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</si>
  <si>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</si>
  <si>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</si>
  <si>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</si>
  <si>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</si>
  <si>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</si>
  <si>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</si>
  <si>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</si>
  <si>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</si>
  <si>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</si>
  <si>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</si>
  <si>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</si>
  <si>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</si>
  <si>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</si>
  <si>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</si>
  <si>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</si>
  <si>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</si>
  <si>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</si>
  <si>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</si>
  <si>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</si>
  <si>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</si>
  <si>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</si>
  <si>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</si>
  <si>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</si>
  <si>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</si>
  <si>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</si>
  <si>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</si>
  <si>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</si>
  <si>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</si>
  <si>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</si>
  <si>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</si>
  <si>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</si>
  <si>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</si>
  <si>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</si>
  <si>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</si>
  <si>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</si>
  <si>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</si>
  <si>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</si>
  <si>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</si>
  <si>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</si>
  <si>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</si>
  <si>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</si>
  <si>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</si>
  <si>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</si>
  <si>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</si>
  <si>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</si>
  <si>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</si>
  <si>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</si>
  <si>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</si>
  <si>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</si>
  <si>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</si>
  <si>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</si>
  <si>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</si>
  <si>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</si>
  <si>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</si>
  <si>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</si>
  <si>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</si>
  <si>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</si>
  <si>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</si>
  <si>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</si>
  <si>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</si>
  <si>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</si>
  <si>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</si>
  <si>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</si>
  <si>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</si>
  <si>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</si>
  <si>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</si>
  <si>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</si>
  <si>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</si>
  <si>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</si>
  <si>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</si>
  <si>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</si>
  <si>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</si>
  <si>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</si>
  <si>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</si>
  <si>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</si>
  <si>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</si>
  <si>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</si>
  <si>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</si>
  <si>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</si>
  <si>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</si>
  <si>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</si>
  <si>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</si>
  <si>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</si>
  <si>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</si>
  <si>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</si>
  <si>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</si>
  <si>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</si>
  <si>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</si>
  <si>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</si>
  <si>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</si>
  <si>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</si>
  <si>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</si>
  <si>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</si>
  <si>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</si>
  <si>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</si>
  <si>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</si>
  <si>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</si>
  <si>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</si>
  <si>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</si>
  <si>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</si>
  <si>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</si>
  <si>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</si>
  <si>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</si>
  <si>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</si>
  <si>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</si>
  <si>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</si>
  <si>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</si>
  <si>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</si>
  <si>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</si>
  <si>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</si>
  <si>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</si>
  <si>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</si>
  <si>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</si>
  <si>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</si>
  <si>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</si>
  <si>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</si>
  <si>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</si>
  <si>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</si>
  <si>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</si>
  <si>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</si>
  <si>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</si>
  <si>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</si>
  <si>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</si>
  <si>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</si>
  <si>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</si>
  <si>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</si>
  <si>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</si>
  <si>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</si>
  <si>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</si>
  <si>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</si>
  <si>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</si>
  <si>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</si>
  <si>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</si>
  <si>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</si>
  <si>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</si>
  <si>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</si>
  <si>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</si>
  <si>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</si>
  <si>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</si>
  <si>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</si>
  <si>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</si>
  <si>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</si>
  <si>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</si>
  <si>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</si>
  <si>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</si>
  <si>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</si>
  <si>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</si>
  <si>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</si>
  <si>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</si>
  <si>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</si>
  <si>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</si>
  <si>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</si>
  <si>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</si>
  <si>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</si>
  <si>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</si>
  <si>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</si>
  <si>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</si>
  <si>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</si>
  <si>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</si>
  <si>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</si>
  <si>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</si>
  <si>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</si>
  <si>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</si>
  <si>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</si>
  <si>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</si>
  <si>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</si>
  <si>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</si>
  <si>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</si>
  <si>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</si>
  <si>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</si>
  <si>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</si>
  <si>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</si>
  <si>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</si>
  <si>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</si>
  <si>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</si>
  <si>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</si>
  <si>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</si>
  <si>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</si>
  <si>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</si>
  <si>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</si>
  <si>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</si>
  <si>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</si>
  <si>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</si>
  <si>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</si>
  <si>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</si>
  <si>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</si>
  <si>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</si>
  <si>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</si>
  <si>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</si>
  <si>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</si>
  <si>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</si>
  <si>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</si>
  <si>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</si>
  <si>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</si>
  <si>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</si>
  <si>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</si>
  <si>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</si>
  <si>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</si>
  <si>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</si>
  <si>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</si>
  <si>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</si>
  <si>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</si>
  <si>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</si>
  <si>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</si>
  <si>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</si>
  <si>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</si>
  <si>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</si>
  <si>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</si>
  <si>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</si>
  <si>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</si>
  <si>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</si>
  <si>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</si>
  <si>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</si>
  <si>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</si>
  <si>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</si>
  <si>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</si>
  <si>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</si>
  <si>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</si>
  <si>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</si>
  <si>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</si>
  <si>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</si>
  <si>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</si>
  <si>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</si>
  <si>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</si>
  <si>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</si>
  <si>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</si>
  <si>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</si>
  <si>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</si>
  <si>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</si>
  <si>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</si>
  <si>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</si>
  <si>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</si>
  <si>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</si>
  <si>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</si>
  <si>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</si>
  <si>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</si>
  <si>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</si>
  <si>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</si>
  <si>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</si>
  <si>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</si>
  <si>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</si>
  <si>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</si>
  <si>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</si>
  <si>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</si>
  <si>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</si>
  <si>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</si>
  <si>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</si>
  <si>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</si>
  <si>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</si>
  <si>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</si>
  <si>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</si>
  <si>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</si>
  <si>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</si>
  <si>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</si>
  <si>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</si>
  <si>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</si>
  <si>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</si>
  <si>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</si>
  <si>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</si>
  <si>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</si>
  <si>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</si>
  <si>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</si>
  <si>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</si>
  <si>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</si>
  <si>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</si>
  <si>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</si>
  <si>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</si>
  <si>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</si>
  <si>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</si>
  <si>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</si>
  <si>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</si>
  <si>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</si>
  <si>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</si>
  <si>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</si>
  <si>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</si>
  <si>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</si>
  <si>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</si>
  <si>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</si>
  <si>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</si>
  <si>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</si>
  <si>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</si>
  <si>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</si>
  <si>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</si>
  <si>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</si>
  <si>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</si>
  <si>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</si>
  <si>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</si>
  <si>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</si>
  <si>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</si>
  <si>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</si>
  <si>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</si>
  <si>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</si>
  <si>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</si>
  <si>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</si>
  <si>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</si>
  <si>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</si>
  <si>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</si>
  <si>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</si>
  <si>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</si>
  <si>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</si>
  <si>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</si>
  <si>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</si>
  <si>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</si>
  <si>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</si>
  <si>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</si>
  <si>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</si>
  <si>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</si>
  <si>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</si>
  <si>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</si>
  <si>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</si>
  <si>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</si>
  <si>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</si>
  <si>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</si>
  <si>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</si>
  <si>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</si>
  <si>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</si>
  <si>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</si>
  <si>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</si>
  <si>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</si>
  <si>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</si>
  <si>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</si>
  <si>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</si>
  <si>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</si>
  <si>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</si>
  <si>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</si>
  <si>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</si>
  <si>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</si>
  <si>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</si>
  <si>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</si>
  <si>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</si>
  <si>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</si>
  <si>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</si>
  <si>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</si>
  <si>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</si>
  <si>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</si>
  <si>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</si>
  <si>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</si>
  <si>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</si>
  <si>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</si>
  <si>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</si>
  <si>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</si>
  <si>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</si>
  <si>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</si>
  <si>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</si>
  <si>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</si>
  <si>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</si>
  <si>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</si>
  <si>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</si>
  <si>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</si>
  <si>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</si>
  <si>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</si>
  <si>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</si>
  <si>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</si>
  <si>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</si>
  <si>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</si>
  <si>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</si>
  <si>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</si>
  <si>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</si>
  <si>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</si>
  <si>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</si>
  <si>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</si>
  <si>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</si>
  <si>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</si>
  <si>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</si>
  <si>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</si>
  <si>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</si>
  <si>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</si>
  <si>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</si>
  <si>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</si>
  <si>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</si>
  <si>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</si>
  <si>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</si>
  <si>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</si>
  <si>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</si>
  <si>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</si>
  <si>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</si>
  <si>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</si>
  <si>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</si>
  <si>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</si>
  <si>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</si>
  <si>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</si>
  <si>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</si>
  <si>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</si>
  <si>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</si>
  <si>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</si>
  <si>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</si>
  <si>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</si>
  <si>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</si>
  <si>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</si>
  <si>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</si>
  <si>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</si>
  <si>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</si>
  <si>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</si>
  <si>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</si>
  <si>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</si>
  <si>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</si>
  <si>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</si>
  <si>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</si>
  <si>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</si>
  <si>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</si>
  <si>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</si>
  <si>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</si>
  <si>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</si>
  <si>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</si>
  <si>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</si>
  <si>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</si>
  <si>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</si>
  <si>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</si>
  <si>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</si>
  <si>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</si>
  <si>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</si>
  <si>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</si>
  <si>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</si>
  <si>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</si>
  <si>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</si>
  <si>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</si>
  <si>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</si>
  <si>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</si>
  <si>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</si>
  <si>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</si>
  <si>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</si>
  <si>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</si>
  <si>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</si>
  <si>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</si>
  <si>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</si>
  <si>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</si>
  <si>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</si>
  <si>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</si>
  <si>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</si>
  <si>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</si>
  <si>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</si>
  <si>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</si>
  <si>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</si>
  <si>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</si>
  <si>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</si>
  <si>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</si>
  <si>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</si>
  <si>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</si>
  <si>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</si>
  <si>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</si>
  <si>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</si>
  <si>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</si>
  <si>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</si>
  <si>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</si>
  <si>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</si>
  <si>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</si>
  <si>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</si>
  <si>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</si>
  <si>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</si>
  <si>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</si>
  <si>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</si>
  <si>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</si>
  <si>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</si>
  <si>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</si>
  <si>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</si>
  <si>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</si>
  <si>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</si>
  <si>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</si>
  <si>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</si>
  <si>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</si>
  <si>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</si>
  <si>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</si>
  <si>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</si>
  <si>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</si>
  <si>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</si>
  <si>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</si>
  <si>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</si>
  <si>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</si>
  <si>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</si>
  <si>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</si>
  <si>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</si>
  <si>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</si>
  <si>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</si>
  <si>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</si>
  <si>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</si>
  <si>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</si>
  <si>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</si>
  <si>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</si>
  <si>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</si>
  <si>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</si>
  <si>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</si>
  <si>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</si>
  <si>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</si>
  <si>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</si>
  <si>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</si>
  <si>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</si>
  <si>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</si>
  <si>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</si>
  <si>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</si>
  <si>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</si>
  <si>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</si>
  <si>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</si>
  <si>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</si>
  <si>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</si>
  <si>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</si>
  <si>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</si>
  <si>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</si>
  <si>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</si>
  <si>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</si>
  <si>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</si>
  <si>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</si>
  <si>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</si>
  <si>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</si>
  <si>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</si>
  <si>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</si>
  <si>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</si>
  <si>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</si>
  <si>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</si>
  <si>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</si>
  <si>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</si>
  <si>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</si>
  <si>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</si>
  <si>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</si>
  <si>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</si>
  <si>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</si>
  <si>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</si>
  <si>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</si>
  <si>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</si>
  <si>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</si>
  <si>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</si>
  <si>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</si>
  <si>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</si>
  <si>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</si>
  <si>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</si>
  <si>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</si>
  <si>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</si>
  <si>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</si>
  <si>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</si>
  <si>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</si>
  <si>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</si>
  <si>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</si>
  <si>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</si>
  <si>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</si>
  <si>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</si>
  <si>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</si>
  <si>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</si>
  <si>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</si>
  <si>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</si>
  <si>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</si>
  <si>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</si>
  <si>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</si>
  <si>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</si>
  <si>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</si>
  <si>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</si>
  <si>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</si>
  <si>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</si>
  <si>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</si>
  <si>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</si>
  <si>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</si>
  <si>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</si>
  <si>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</si>
  <si>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</si>
  <si>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</si>
  <si>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</si>
  <si>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</si>
  <si>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</si>
  <si>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</si>
  <si>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</si>
  <si>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</si>
  <si>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</si>
  <si>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</si>
  <si>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</si>
  <si>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</si>
  <si>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</si>
  <si>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</si>
  <si>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</si>
  <si>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</si>
  <si>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</si>
  <si>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</si>
  <si>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</si>
  <si>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</si>
  <si>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</si>
  <si>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</si>
  <si>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</si>
  <si>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</si>
  <si>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</si>
  <si>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</si>
  <si>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</si>
  <si>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</si>
  <si>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</si>
  <si>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</si>
  <si>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</si>
  <si>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</si>
  <si>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</si>
  <si>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</si>
  <si>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</si>
  <si>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</si>
  <si>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</si>
  <si>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</si>
  <si>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</si>
  <si>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</si>
  <si>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</si>
  <si>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</si>
  <si>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</si>
  <si>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</si>
  <si>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</si>
  <si>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</si>
  <si>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</si>
  <si>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</si>
  <si>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</si>
  <si>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</si>
  <si>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</si>
  <si>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</si>
  <si>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</si>
  <si>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</si>
  <si>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</si>
  <si>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</si>
  <si>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</si>
  <si>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</si>
  <si>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</si>
  <si>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</si>
  <si>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</si>
  <si>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</si>
  <si>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</si>
  <si>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</si>
  <si>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</si>
  <si>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</si>
  <si>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</si>
  <si>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</si>
  <si>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</si>
  <si>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</si>
  <si>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</si>
  <si>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</si>
  <si>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</si>
  <si>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</si>
  <si>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</si>
  <si>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</si>
  <si>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</si>
  <si>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</si>
  <si>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</si>
  <si>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</si>
  <si>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</si>
  <si>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</si>
  <si>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</si>
  <si>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</si>
  <si>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</si>
  <si>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</si>
  <si>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</si>
  <si>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</si>
  <si>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</si>
  <si>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</si>
  <si>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</si>
  <si>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</si>
  <si>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</si>
  <si>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</si>
  <si>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</si>
  <si>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</si>
  <si>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</si>
  <si>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</si>
  <si>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</si>
  <si>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</si>
  <si>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</si>
  <si>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</si>
  <si>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</si>
  <si>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</si>
  <si>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</si>
  <si>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</si>
  <si>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</si>
  <si>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</si>
  <si>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</si>
  <si>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</si>
  <si>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</si>
  <si>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</si>
  <si>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</si>
  <si>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</si>
  <si>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</si>
  <si>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</si>
  <si>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</si>
  <si>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</si>
  <si>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</si>
  <si>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</si>
  <si>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</si>
  <si>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</si>
  <si>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</si>
  <si>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</si>
  <si>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</si>
  <si>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</si>
  <si>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</si>
  <si>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</si>
  <si>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</si>
  <si>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</si>
  <si>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</si>
  <si>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</si>
  <si>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</si>
  <si>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</si>
  <si>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</si>
  <si>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</si>
  <si>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</si>
  <si>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</si>
  <si>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</si>
  <si>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</si>
  <si>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</si>
  <si>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</si>
  <si>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</si>
  <si>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</si>
  <si>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</si>
  <si>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</si>
  <si>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</si>
  <si>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</si>
  <si>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</si>
  <si>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</si>
  <si>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</si>
  <si>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</si>
  <si>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</si>
  <si>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</si>
  <si>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</si>
  <si>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</si>
  <si>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</si>
  <si>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</si>
  <si>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</si>
  <si>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</si>
  <si>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</si>
  <si>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</si>
  <si>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</si>
  <si>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</si>
  <si>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</si>
  <si>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</si>
  <si>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</si>
  <si>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</si>
  <si>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</si>
  <si>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</si>
  <si>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</si>
  <si>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</si>
  <si>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</si>
  <si>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</si>
  <si>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</si>
  <si>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</si>
  <si>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</si>
  <si>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</si>
  <si>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</si>
  <si>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</si>
  <si>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</si>
  <si>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</si>
  <si>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</si>
  <si>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</si>
  <si>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</si>
  <si>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</si>
  <si>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</si>
  <si>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</si>
  <si>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</si>
  <si>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</si>
  <si>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</si>
  <si>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</si>
  <si>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</si>
  <si>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</si>
  <si>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</si>
  <si>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</si>
  <si>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</si>
  <si>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</si>
  <si>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</si>
  <si>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</si>
  <si>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</si>
  <si>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</si>
  <si>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</si>
  <si>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</si>
  <si>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</si>
  <si>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</si>
  <si>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</si>
  <si>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</si>
  <si>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</si>
  <si>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</si>
  <si>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</si>
  <si>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</si>
  <si>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</si>
  <si>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</si>
  <si>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</si>
  <si>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</si>
  <si>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</si>
  <si>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</si>
  <si>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</si>
  <si>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</si>
  <si>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</si>
  <si>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</si>
  <si>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</si>
  <si>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</si>
  <si>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</si>
  <si>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</si>
  <si>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</si>
  <si>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</si>
  <si>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</si>
  <si>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</si>
  <si>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</si>
  <si>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</si>
  <si>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</si>
  <si>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</si>
  <si>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</si>
  <si>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</si>
  <si>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</si>
  <si>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</si>
  <si>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</si>
  <si>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</si>
  <si>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</si>
  <si>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</si>
  <si>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</si>
  <si>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</si>
  <si>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</si>
  <si>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</si>
  <si>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</si>
  <si>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</si>
  <si>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</si>
  <si>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</si>
  <si>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</si>
  <si>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</si>
  <si>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</si>
  <si>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</si>
  <si>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</si>
  <si>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</si>
  <si>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</si>
  <si>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</si>
  <si>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</si>
  <si>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</si>
  <si>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</si>
  <si>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</si>
  <si>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</si>
  <si>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</si>
  <si>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</si>
  <si>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</si>
  <si>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</si>
  <si>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</si>
  <si>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</si>
  <si>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</si>
  <si>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</si>
  <si>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</si>
  <si>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</si>
  <si>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</si>
  <si>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</si>
  <si>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</si>
  <si>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</si>
  <si>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</si>
  <si>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</si>
  <si>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</si>
  <si>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</si>
  <si>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</si>
  <si>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</si>
  <si>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</si>
  <si>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</si>
  <si>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</si>
  <si>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</si>
  <si>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</si>
  <si>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</si>
  <si>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</si>
  <si>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</si>
  <si>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</si>
  <si>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</si>
  <si>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</si>
  <si>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</si>
  <si>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</si>
  <si>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</si>
  <si>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</si>
  <si>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</si>
  <si>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</si>
  <si>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</si>
  <si>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</si>
  <si>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</si>
  <si>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</si>
  <si>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</si>
  <si>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</si>
  <si>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</si>
  <si>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</si>
  <si>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</si>
  <si>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</si>
  <si>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</si>
  <si>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</si>
  <si>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</si>
  <si>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</si>
  <si>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</si>
  <si>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</si>
  <si>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</si>
  <si>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</si>
  <si>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</si>
  <si>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</si>
  <si>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</si>
  <si>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</si>
  <si>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</si>
  <si>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</si>
  <si>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</si>
  <si>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</si>
  <si>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</si>
  <si>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</si>
  <si>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</si>
  <si>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</si>
  <si>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</si>
  <si>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</si>
  <si>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</si>
  <si>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</si>
  <si>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</si>
  <si>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</si>
  <si>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</si>
  <si>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</si>
  <si>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</si>
  <si>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</si>
  <si>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</si>
  <si>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</si>
  <si>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</si>
  <si>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</si>
  <si>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</si>
  <si>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</si>
  <si>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</si>
  <si>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</si>
  <si>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</si>
  <si>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</si>
  <si>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</si>
  <si>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</si>
  <si>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</si>
  <si>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</si>
  <si>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</si>
  <si>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</si>
  <si>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</si>
  <si>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</si>
  <si>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</si>
  <si>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</si>
  <si>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</si>
  <si>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</si>
  <si>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</si>
  <si>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</si>
  <si>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</si>
  <si>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</si>
  <si>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</si>
  <si>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</si>
  <si>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</si>
  <si>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</si>
  <si>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</si>
  <si>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</si>
  <si>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</si>
  <si>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</si>
  <si>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</si>
  <si>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</si>
  <si>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</si>
  <si>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</si>
  <si>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</si>
  <si>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</si>
  <si>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</si>
  <si>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</si>
  <si>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</si>
  <si>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</si>
  <si>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</si>
  <si>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</si>
  <si>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</si>
  <si>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</si>
  <si>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</si>
  <si>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</si>
  <si>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</si>
  <si>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</si>
  <si>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</si>
  <si>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</si>
  <si>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</si>
  <si>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</si>
  <si>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</si>
  <si>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</si>
  <si>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</si>
  <si>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</si>
  <si>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</si>
  <si>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</si>
  <si>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</si>
  <si>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</si>
  <si>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</si>
  <si>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</si>
  <si>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</si>
  <si>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</si>
  <si>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</si>
  <si>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</si>
  <si>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</si>
  <si>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</si>
  <si>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</si>
  <si>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</si>
  <si>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</si>
  <si>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</si>
  <si>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</si>
  <si>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</si>
  <si>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</si>
  <si>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</si>
  <si>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</si>
  <si>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</si>
  <si>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</si>
  <si>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</si>
  <si>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</si>
  <si>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</si>
  <si>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</si>
  <si>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</si>
  <si>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</si>
  <si>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</si>
  <si>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</si>
  <si>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</si>
  <si>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</si>
  <si>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</si>
  <si>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</si>
  <si>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</si>
  <si>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</si>
  <si>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</si>
  <si>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</si>
  <si>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</si>
  <si>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</si>
  <si>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</si>
  <si>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</si>
  <si>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</si>
  <si>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</si>
  <si>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</si>
  <si>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</si>
  <si>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</si>
  <si>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</si>
  <si>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</si>
  <si>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</si>
  <si>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</si>
  <si>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</si>
  <si>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</si>
  <si>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</si>
  <si>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</si>
  <si>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</si>
  <si>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</si>
  <si>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</si>
  <si>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</si>
  <si>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</si>
  <si>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</si>
  <si>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</si>
  <si>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</si>
  <si>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</si>
  <si>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</si>
  <si>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</si>
  <si>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</si>
  <si>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</si>
  <si>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</si>
  <si>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</si>
  <si>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</si>
  <si>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</si>
  <si>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</si>
  <si>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</si>
  <si>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</si>
  <si>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</si>
  <si>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</si>
  <si>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</si>
  <si>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</si>
  <si>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</si>
  <si>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</si>
  <si>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</si>
  <si>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</si>
  <si>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</si>
  <si>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</si>
  <si>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</si>
  <si>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</si>
  <si>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</si>
  <si>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</si>
  <si>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</si>
  <si>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</si>
  <si>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</si>
  <si>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</si>
  <si>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</si>
  <si>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</si>
  <si>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</si>
  <si>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</si>
  <si>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</si>
  <si>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</si>
  <si>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</si>
  <si>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</si>
  <si>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</si>
  <si>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</si>
  <si>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</si>
  <si>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</si>
  <si>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</si>
  <si>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</si>
  <si>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</si>
  <si>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</si>
  <si>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</si>
  <si>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</si>
  <si>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</si>
  <si>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</si>
  <si>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</si>
  <si>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</si>
  <si>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</si>
  <si>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</si>
  <si>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</si>
  <si>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</si>
  <si>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</si>
  <si>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</si>
  <si>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</si>
  <si>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</si>
  <si>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</si>
  <si>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</si>
  <si>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</si>
  <si>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</si>
  <si>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</si>
  <si>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</si>
  <si>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</si>
  <si>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</si>
  <si>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</si>
  <si>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</si>
  <si>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</si>
  <si>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</si>
  <si>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</si>
  <si>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</si>
  <si>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</si>
  <si>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</si>
  <si>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</si>
  <si>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</si>
  <si>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</si>
  <si>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</si>
  <si>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</si>
  <si>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</si>
  <si>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</si>
  <si>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</si>
  <si>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</si>
  <si>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</si>
  <si>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</si>
  <si>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</si>
  <si>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</si>
  <si>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</si>
  <si>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</si>
  <si>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</si>
  <si>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</si>
  <si>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</si>
  <si>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</si>
  <si>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</si>
  <si>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</si>
  <si>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</si>
  <si>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</si>
  <si>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</si>
  <si>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</si>
  <si>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</si>
  <si>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</si>
  <si>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</si>
  <si>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</si>
  <si>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</si>
  <si>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</si>
  <si>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</si>
  <si>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</si>
  <si>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</si>
  <si>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</si>
  <si>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</si>
  <si>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</si>
  <si>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</si>
  <si>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</si>
  <si>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</si>
  <si>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</si>
  <si>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</si>
  <si>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</si>
  <si>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</si>
  <si>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</si>
  <si>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</si>
  <si>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</si>
  <si>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</si>
  <si>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</si>
  <si>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</si>
  <si>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</si>
  <si>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</si>
  <si>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</si>
  <si>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</si>
  <si>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</si>
  <si>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</si>
  <si>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</si>
  <si>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</si>
  <si>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</si>
  <si>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</si>
  <si>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</si>
  <si>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</si>
  <si>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</si>
  <si>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</si>
  <si>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</si>
  <si>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</si>
  <si>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</si>
  <si>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</si>
  <si>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</si>
  <si>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</si>
  <si>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</si>
  <si>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</si>
  <si>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</si>
  <si>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</si>
  <si>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</si>
  <si>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</si>
  <si>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</si>
  <si>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</si>
  <si>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</si>
  <si>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</si>
  <si>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</si>
  <si>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</si>
  <si>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</si>
  <si>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</si>
  <si>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</si>
  <si>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</si>
  <si>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</si>
  <si>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</si>
  <si>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</si>
  <si>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</si>
  <si>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</si>
  <si>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proud</t>
  </si>
  <si>
    <t>proven</t>
  </si>
  <si>
    <t>proves</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</si>
  <si>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</si>
  <si>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</si>
  <si>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</si>
  <si>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</si>
  <si>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</si>
  <si>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</si>
  <si>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</si>
  <si>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</si>
  <si>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</si>
  <si>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</si>
  <si>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</si>
  <si>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</si>
  <si>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</si>
  <si>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</si>
  <si>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</si>
  <si>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</si>
  <si>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</si>
  <si>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</si>
  <si>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</si>
  <si>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</si>
  <si>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</si>
  <si>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</si>
  <si>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</si>
  <si>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</si>
  <si>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</si>
  <si>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</si>
  <si>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</si>
  <si>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</si>
  <si>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</si>
  <si>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</si>
  <si>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</si>
  <si>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</si>
  <si>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</si>
  <si>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</si>
  <si>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</si>
  <si>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</si>
  <si>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</si>
  <si>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</si>
  <si>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</si>
  <si>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</si>
  <si>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</si>
  <si>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</si>
  <si>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</si>
  <si>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</si>
  <si>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</si>
  <si>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</si>
  <si>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</si>
  <si>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</si>
  <si>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</si>
  <si>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</si>
  <si>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</si>
  <si>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</si>
  <si>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</si>
  <si>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</si>
  <si>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</si>
  <si>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</si>
  <si>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</si>
  <si>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</si>
  <si>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</si>
  <si>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</si>
  <si>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</si>
  <si>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</si>
  <si>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</si>
  <si>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</si>
  <si>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</si>
  <si>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</si>
  <si>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</si>
  <si>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</si>
  <si>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</si>
  <si>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</si>
  <si>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</si>
  <si>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</si>
  <si>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</si>
  <si>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</si>
  <si>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</si>
  <si>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</si>
  <si>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</si>
  <si>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</si>
  <si>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</si>
  <si>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</si>
  <si>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</si>
  <si>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</si>
  <si>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</si>
  <si>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</si>
  <si>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</si>
  <si>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</si>
  <si>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</si>
  <si>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</si>
  <si>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</si>
  <si>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</si>
  <si>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</si>
  <si>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</si>
  <si>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</si>
  <si>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</si>
  <si>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</si>
  <si>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</si>
  <si>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</si>
  <si>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</si>
  <si>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</si>
  <si>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</si>
  <si>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</si>
  <si>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</si>
  <si>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</si>
  <si>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</si>
  <si>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</si>
  <si>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</si>
  <si>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</si>
  <si>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</si>
  <si>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</si>
  <si>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</si>
  <si>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</si>
  <si>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</si>
  <si>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</si>
  <si>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</si>
  <si>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</si>
  <si>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</si>
  <si>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</si>
  <si>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</si>
  <si>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</si>
  <si>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</si>
  <si>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</si>
  <si>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</si>
  <si>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</si>
  <si>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</si>
  <si>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</si>
  <si>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</si>
  <si>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</si>
  <si>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</si>
  <si>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</si>
  <si>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</si>
  <si>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</si>
  <si>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</si>
  <si>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</si>
  <si>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</si>
  <si>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</si>
  <si>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</si>
  <si>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</si>
  <si>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</si>
  <si>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</si>
  <si>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</si>
  <si>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</si>
  <si>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</si>
  <si>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</si>
  <si>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</si>
  <si>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</si>
  <si>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</si>
  <si>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</si>
  <si>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</si>
  <si>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</si>
  <si>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</si>
  <si>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</si>
  <si>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</si>
  <si>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</si>
  <si>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</si>
  <si>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</si>
  <si>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</si>
  <si>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</si>
  <si>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</si>
  <si>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</si>
  <si>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</si>
  <si>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</si>
  <si>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</si>
  <si>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</si>
  <si>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</si>
  <si>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</si>
  <si>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</si>
  <si>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</si>
  <si>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</si>
  <si>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</si>
  <si>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</si>
  <si>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</si>
  <si>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</si>
  <si>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</si>
  <si>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</si>
  <si>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</si>
  <si>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</si>
  <si>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</si>
  <si>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</si>
  <si>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</si>
  <si>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</si>
  <si>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</si>
  <si>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</si>
  <si>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</si>
  <si>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</si>
  <si>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</si>
  <si>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</si>
  <si>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</si>
  <si>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</si>
  <si>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</si>
  <si>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</si>
  <si>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</si>
  <si>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</si>
  <si>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</si>
  <si>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</si>
  <si>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</si>
  <si>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</si>
  <si>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</si>
  <si>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</si>
  <si>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</si>
  <si>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</si>
  <si>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</si>
  <si>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</si>
  <si>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</si>
  <si>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</si>
  <si>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</si>
  <si>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</si>
  <si>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</si>
  <si>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</si>
  <si>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</si>
  <si>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</si>
  <si>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</si>
  <si>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</si>
  <si>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</si>
  <si>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</si>
  <si>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</si>
  <si>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</si>
  <si>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</si>
  <si>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</si>
  <si>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</si>
  <si>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</si>
  <si>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</si>
  <si>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</si>
  <si>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</si>
  <si>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</si>
  <si>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</si>
  <si>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</si>
  <si>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</si>
  <si>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</si>
  <si>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</si>
  <si>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</si>
  <si>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</si>
  <si>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</si>
  <si>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</si>
  <si>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</si>
  <si>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</si>
  <si>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</si>
  <si>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</si>
  <si>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</si>
  <si>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</si>
  <si>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</si>
  <si>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</si>
  <si>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</si>
  <si>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</si>
  <si>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</si>
  <si>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</si>
  <si>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</si>
  <si>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</si>
  <si>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</si>
  <si>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</si>
  <si>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</si>
  <si>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</si>
  <si>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</si>
  <si>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</si>
  <si>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</si>
  <si>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</si>
  <si>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</si>
  <si>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</si>
  <si>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</si>
  <si>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</si>
  <si>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</si>
  <si>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</si>
  <si>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</si>
  <si>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</si>
  <si>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</si>
  <si>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</si>
  <si>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</si>
  <si>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</si>
  <si>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</si>
  <si>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</si>
  <si>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</si>
  <si>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</si>
  <si>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</si>
  <si>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</si>
  <si>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</si>
  <si>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</si>
  <si>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</si>
  <si>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</si>
  <si>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</si>
  <si>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</si>
  <si>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</si>
  <si>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</si>
  <si>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</si>
  <si>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</si>
  <si>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</si>
  <si>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</si>
  <si>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</si>
  <si>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</si>
  <si>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</si>
  <si>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</si>
  <si>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</si>
  <si>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</si>
  <si>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</si>
  <si>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</si>
  <si>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</si>
  <si>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</si>
  <si>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</si>
  <si>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</si>
  <si>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</si>
  <si>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</si>
  <si>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</si>
  <si>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</si>
  <si>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</si>
  <si>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</si>
  <si>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</si>
  <si>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</si>
  <si>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</si>
  <si>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</si>
  <si>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</si>
  <si>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</si>
  <si>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</si>
  <si>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</si>
  <si>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</si>
  <si>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</si>
  <si>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</si>
  <si>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</si>
  <si>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</si>
  <si>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</si>
  <si>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</si>
  <si>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</si>
  <si>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</si>
  <si>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</si>
  <si>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</si>
  <si>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</si>
  <si>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</si>
  <si>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</si>
  <si>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</si>
  <si>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</si>
  <si>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</si>
  <si>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</si>
  <si>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</si>
  <si>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</si>
  <si>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</si>
  <si>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</si>
  <si>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</si>
  <si>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</si>
  <si>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</si>
  <si>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</si>
  <si>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</si>
  <si>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</si>
  <si>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</si>
  <si>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</si>
  <si>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</si>
  <si>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</si>
  <si>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</si>
  <si>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</si>
  <si>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</si>
  <si>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</si>
  <si>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</si>
  <si>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</si>
  <si>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</si>
  <si>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</si>
  <si>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</si>
  <si>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</si>
  <si>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</si>
  <si>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</si>
  <si>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</si>
  <si>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</si>
  <si>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</si>
  <si>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</si>
  <si>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</si>
  <si>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</si>
  <si>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</si>
  <si>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</si>
  <si>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</si>
  <si>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</si>
  <si>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</si>
  <si>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</si>
  <si>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</si>
  <si>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</si>
  <si>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</si>
  <si>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</si>
  <si>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</si>
  <si>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</si>
  <si>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</si>
  <si>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</si>
  <si>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</si>
  <si>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</si>
  <si>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</si>
  <si>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</si>
  <si>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</si>
  <si>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</si>
  <si>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</si>
  <si>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</si>
  <si>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</si>
  <si>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</si>
  <si>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</si>
  <si>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</si>
  <si>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</si>
  <si>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</si>
  <si>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</si>
  <si>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</si>
  <si>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</si>
  <si>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</si>
  <si>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</si>
  <si>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</si>
  <si>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</si>
  <si>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</si>
  <si>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</si>
  <si>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</si>
  <si>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</si>
  <si>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</si>
  <si>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</si>
  <si>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</si>
  <si>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</si>
  <si>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</si>
  <si>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</si>
  <si>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</si>
  <si>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</si>
  <si>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</si>
  <si>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</si>
  <si>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</si>
  <si>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</si>
  <si>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</si>
  <si>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</si>
  <si>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</si>
  <si>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</si>
  <si>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</si>
  <si>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</si>
  <si>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</si>
  <si>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</si>
  <si>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</si>
  <si>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</si>
  <si>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</si>
  <si>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</si>
  <si>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</si>
  <si>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</si>
  <si>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</si>
  <si>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</si>
  <si>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</si>
  <si>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</si>
  <si>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</si>
  <si>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</si>
  <si>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</si>
  <si>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</si>
  <si>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</si>
  <si>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</si>
  <si>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</si>
  <si>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</si>
  <si>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</si>
  <si>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</si>
  <si>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</si>
  <si>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</si>
  <si>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</si>
  <si>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</si>
  <si>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</si>
  <si>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</si>
  <si>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</si>
  <si>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</si>
  <si>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</si>
  <si>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</si>
  <si>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</si>
  <si>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</si>
  <si>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</si>
  <si>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</si>
  <si>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</si>
  <si>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</si>
  <si>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</si>
  <si>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</si>
  <si>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</si>
  <si>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</si>
  <si>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</si>
  <si>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</si>
  <si>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</si>
  <si>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</si>
  <si>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</si>
  <si>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</si>
  <si>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</si>
  <si>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</si>
  <si>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</si>
  <si>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</si>
  <si>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</si>
  <si>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</si>
  <si>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</si>
  <si>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</si>
  <si>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</si>
  <si>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</si>
  <si>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</si>
  <si>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</si>
  <si>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</si>
  <si>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</si>
  <si>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</si>
  <si>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</si>
  <si>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</si>
  <si>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</si>
  <si>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</si>
  <si>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</si>
  <si>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</si>
  <si>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</si>
  <si>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</si>
  <si>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</si>
  <si>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</si>
  <si>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</si>
  <si>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</si>
  <si>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</si>
  <si>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</si>
  <si>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</si>
  <si>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</si>
  <si>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</si>
  <si>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</si>
  <si>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</si>
  <si>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</si>
  <si>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</si>
  <si>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</si>
  <si>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</si>
  <si>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</si>
  <si>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</si>
  <si>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</si>
  <si>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</si>
  <si>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</si>
  <si>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</si>
  <si>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</si>
  <si>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</si>
  <si>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</si>
  <si>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</si>
  <si>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</si>
  <si>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</si>
  <si>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</si>
  <si>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</si>
  <si>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</si>
  <si>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</si>
  <si>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</si>
  <si>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</si>
  <si>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</si>
  <si>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</si>
  <si>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</si>
  <si>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</si>
  <si>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</si>
  <si>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</si>
  <si>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</si>
  <si>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</si>
  <si>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</si>
  <si>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</si>
  <si>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</si>
  <si>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</si>
  <si>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</si>
  <si>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</si>
  <si>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</si>
  <si>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</si>
  <si>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</si>
  <si>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</si>
  <si>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</si>
  <si>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</si>
  <si>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</si>
  <si>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</si>
  <si>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</si>
  <si>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</si>
  <si>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</si>
  <si>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</si>
  <si>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</si>
  <si>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</si>
  <si>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</si>
  <si>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</si>
  <si>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</si>
  <si>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</si>
  <si>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</si>
  <si>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</si>
  <si>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</si>
  <si>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</si>
  <si>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</si>
  <si>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</si>
  <si>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</si>
  <si>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</si>
  <si>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</si>
  <si>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</si>
  <si>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</si>
  <si>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</si>
  <si>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</si>
  <si>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</si>
  <si>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</si>
  <si>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</si>
  <si>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</si>
  <si>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</si>
  <si>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</si>
  <si>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</si>
  <si>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</si>
  <si>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</si>
  <si>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</si>
  <si>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</si>
  <si>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</si>
  <si>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</si>
  <si>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</si>
  <si>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</si>
  <si>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</si>
  <si>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</si>
  <si>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</si>
  <si>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</si>
  <si>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</si>
  <si>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</si>
  <si>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</si>
  <si>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</si>
  <si>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</si>
  <si>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</si>
  <si>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</si>
  <si>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</si>
  <si>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</si>
  <si>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</si>
  <si>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</si>
  <si>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</si>
  <si>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</si>
  <si>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</si>
  <si>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</si>
  <si>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</si>
  <si>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</si>
  <si>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</si>
  <si>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</si>
  <si>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</si>
  <si>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</si>
  <si>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</si>
  <si>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</si>
  <si>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</si>
  <si>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</si>
  <si>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</si>
  <si>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</si>
  <si>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</si>
  <si>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</si>
  <si>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</si>
  <si>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</si>
  <si>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</si>
  <si>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</si>
  <si>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</si>
  <si>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</si>
  <si>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</si>
  <si>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</si>
  <si>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</si>
  <si>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</si>
  <si>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</si>
  <si>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</si>
  <si>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</si>
  <si>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</si>
  <si>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</si>
  <si>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</si>
  <si>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</si>
  <si>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</si>
  <si>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</si>
  <si>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</si>
  <si>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</si>
  <si>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</si>
  <si>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</si>
  <si>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</si>
  <si>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</si>
  <si>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</si>
  <si>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</si>
  <si>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</si>
  <si>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</si>
  <si>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</si>
  <si>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</si>
  <si>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</si>
  <si>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</si>
  <si>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</si>
  <si>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</si>
  <si>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</si>
  <si>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</si>
  <si>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</si>
  <si>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</si>
  <si>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</si>
  <si>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</si>
  <si>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</si>
  <si>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</si>
  <si>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</si>
  <si>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</si>
  <si>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</si>
  <si>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</si>
  <si>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</si>
  <si>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</si>
  <si>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</si>
  <si>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</si>
  <si>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</si>
  <si>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</si>
  <si>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</si>
  <si>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</si>
  <si>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</si>
  <si>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</si>
  <si>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</si>
  <si>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</si>
  <si>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</si>
  <si>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</si>
  <si>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</si>
  <si>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</si>
  <si>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</si>
  <si>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</si>
  <si>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</si>
  <si>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</si>
  <si>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</si>
  <si>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</si>
  <si>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</si>
  <si>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</si>
  <si>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</si>
  <si>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</si>
  <si>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</si>
  <si>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</si>
  <si>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</si>
  <si>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</si>
  <si>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</si>
  <si>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</si>
  <si>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</si>
  <si>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</si>
  <si>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</si>
  <si>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</si>
  <si>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</si>
  <si>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</si>
  <si>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</si>
  <si>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</si>
  <si>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</si>
  <si>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</si>
  <si>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</si>
  <si>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</si>
  <si>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</si>
  <si>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</si>
  <si>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</si>
  <si>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</si>
  <si>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</si>
  <si>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</si>
  <si>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</si>
  <si>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</si>
  <si>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</si>
  <si>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</si>
  <si>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</si>
  <si>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</si>
  <si>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</si>
  <si>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</si>
  <si>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</si>
  <si>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</si>
  <si>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</si>
  <si>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</si>
  <si>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</si>
  <si>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</si>
  <si>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</si>
  <si>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</si>
  <si>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</si>
  <si>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</si>
  <si>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</si>
  <si>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</si>
  <si>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</si>
  <si>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</si>
  <si>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</si>
  <si>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</si>
  <si>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</si>
  <si>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</si>
  <si>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</si>
  <si>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</si>
  <si>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</si>
  <si>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</si>
  <si>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</si>
  <si>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</si>
  <si>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</si>
  <si>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</si>
  <si>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</si>
  <si>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</si>
  <si>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</si>
  <si>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</si>
  <si>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</si>
  <si>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</si>
  <si>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</si>
  <si>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</si>
  <si>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</si>
  <si>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</si>
  <si>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</si>
  <si>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</si>
  <si>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</si>
  <si>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</si>
  <si>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</si>
  <si>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</si>
  <si>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</si>
  <si>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</si>
  <si>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</si>
  <si>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</si>
  <si>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</si>
  <si>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</si>
  <si>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</si>
  <si>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</si>
  <si>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</si>
  <si>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</si>
  <si>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</si>
  <si>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</si>
  <si>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</si>
  <si>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</si>
  <si>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</si>
  <si>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</si>
  <si>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</si>
  <si>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</si>
  <si>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</si>
  <si>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</si>
  <si>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</si>
  <si>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</si>
  <si>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</si>
  <si>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</si>
  <si>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</si>
  <si>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</si>
  <si>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</si>
  <si>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</si>
  <si>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</si>
  <si>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</si>
  <si>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</si>
  <si>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</si>
  <si>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</si>
  <si>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</si>
  <si>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</si>
  <si>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</si>
  <si>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</si>
  <si>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</si>
  <si>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</si>
  <si>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</si>
  <si>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</si>
  <si>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</si>
  <si>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</si>
  <si>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</si>
  <si>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</si>
  <si>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</si>
  <si>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</si>
  <si>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</si>
  <si>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</si>
  <si>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</si>
  <si>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</si>
  <si>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</si>
  <si>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</si>
  <si>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</si>
  <si>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</si>
  <si>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</si>
  <si>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</si>
  <si>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</si>
  <si>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</si>
  <si>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</si>
  <si>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</si>
  <si>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</si>
  <si>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</si>
  <si>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</si>
  <si>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</si>
  <si>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</si>
  <si>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</si>
  <si>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</si>
  <si>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</si>
  <si>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</si>
  <si>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</si>
  <si>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</si>
  <si>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</si>
  <si>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</si>
  <si>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</si>
  <si>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</si>
  <si>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</si>
  <si>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</si>
  <si>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</si>
  <si>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</si>
  <si>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</si>
  <si>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</si>
  <si>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</si>
  <si>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</si>
  <si>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</si>
  <si>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</si>
  <si>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</si>
  <si>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</si>
  <si>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</si>
  <si>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</si>
  <si>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</si>
  <si>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</si>
  <si>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</si>
  <si>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</si>
  <si>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</si>
  <si>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</si>
  <si>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</si>
  <si>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</si>
  <si>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</si>
  <si>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</si>
  <si>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</si>
  <si>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</si>
  <si>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</si>
  <si>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</si>
  <si>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</si>
  <si>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</si>
  <si>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</si>
  <si>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</si>
  <si>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</si>
  <si>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</si>
  <si>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</si>
  <si>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</si>
  <si>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</si>
  <si>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</si>
  <si>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</si>
  <si>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</si>
  <si>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</si>
  <si>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</si>
  <si>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</si>
  <si>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</si>
  <si>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</si>
  <si>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</si>
  <si>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</si>
  <si>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</si>
  <si>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</si>
  <si>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</si>
  <si>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</si>
  <si>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</si>
  <si>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</si>
  <si>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</si>
  <si>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</si>
  <si>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</si>
  <si>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</si>
  <si>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</si>
  <si>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</si>
  <si>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</si>
  <si>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</si>
  <si>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</si>
  <si>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</si>
  <si>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</si>
  <si>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</si>
  <si>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</si>
  <si>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</si>
  <si>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</si>
  <si>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</si>
  <si>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</si>
  <si>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</si>
  <si>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</si>
  <si>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</si>
  <si>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</si>
  <si>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</si>
  <si>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</si>
  <si>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</si>
  <si>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</si>
  <si>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</si>
  <si>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</si>
  <si>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</si>
  <si>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</si>
  <si>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</si>
  <si>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</si>
  <si>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</si>
  <si>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</si>
  <si>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</si>
  <si>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</si>
  <si>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</si>
  <si>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</si>
  <si>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</si>
  <si>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</si>
  <si>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</si>
  <si>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</si>
  <si>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</si>
  <si>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</si>
  <si>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</si>
  <si>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</si>
  <si>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</si>
  <si>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</si>
  <si>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</si>
  <si>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</si>
  <si>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</si>
  <si>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</si>
  <si>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</si>
  <si>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</si>
  <si>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</si>
  <si>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</si>
  <si>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</si>
  <si>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</si>
  <si>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</si>
  <si>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</si>
  <si>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</si>
  <si>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</si>
  <si>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</si>
  <si>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</si>
  <si>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</si>
  <si>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</si>
  <si>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</si>
  <si>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</si>
  <si>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</si>
  <si>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</si>
  <si>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</si>
  <si>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</si>
  <si>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</si>
  <si>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</si>
  <si>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</si>
  <si>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</si>
  <si>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</si>
  <si>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</si>
  <si>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</si>
  <si>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</si>
  <si>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</si>
  <si>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</si>
  <si>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</si>
  <si>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</si>
  <si>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</si>
  <si>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</si>
  <si>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</si>
  <si>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</si>
  <si>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</si>
  <si>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</si>
  <si>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</si>
  <si>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</si>
  <si>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</si>
  <si>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</si>
  <si>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</si>
  <si>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</si>
  <si>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</si>
  <si>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</si>
  <si>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</si>
  <si>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</si>
  <si>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</si>
  <si>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</si>
  <si>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</si>
  <si>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</si>
  <si>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</si>
  <si>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</si>
  <si>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</si>
  <si>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</si>
  <si>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</si>
  <si>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</si>
  <si>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</si>
  <si>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</si>
  <si>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</si>
  <si>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</si>
  <si>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</si>
  <si>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</si>
  <si>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</si>
  <si>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</si>
  <si>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</si>
  <si>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</si>
  <si>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</si>
  <si>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</si>
  <si>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</si>
  <si>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</si>
  <si>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</si>
  <si>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</si>
  <si>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</si>
  <si>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</si>
  <si>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</si>
  <si>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</si>
  <si>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</si>
  <si>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</si>
  <si>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</si>
  <si>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</si>
  <si>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</si>
  <si>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</si>
  <si>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</si>
  <si>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</si>
  <si>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</si>
  <si>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</si>
  <si>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</si>
  <si>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</si>
  <si>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</si>
  <si>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</si>
  <si>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</si>
  <si>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</si>
  <si>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</si>
  <si>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</si>
  <si>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</si>
  <si>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</si>
  <si>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</si>
  <si>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</si>
  <si>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</si>
  <si>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</si>
  <si>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</si>
  <si>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</si>
  <si>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</si>
  <si>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</si>
  <si>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</si>
  <si>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</si>
  <si>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</si>
  <si>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</si>
  <si>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</si>
  <si>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</si>
  <si>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</si>
  <si>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</si>
  <si>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</si>
  <si>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</si>
  <si>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</si>
  <si>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</si>
  <si>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</si>
  <si>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</si>
  <si>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</si>
  <si>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</si>
  <si>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</si>
  <si>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</si>
  <si>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</si>
  <si>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</si>
  <si>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</si>
  <si>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</si>
  <si>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</si>
  <si>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</si>
  <si>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</si>
  <si>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</si>
  <si>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</si>
  <si>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</si>
  <si>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</si>
  <si>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</si>
  <si>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</si>
  <si>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</si>
  <si>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</si>
  <si>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</si>
  <si>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</si>
  <si>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</si>
  <si>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</si>
  <si>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</si>
  <si>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</si>
  <si>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</si>
  <si>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</si>
  <si>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</si>
  <si>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</si>
  <si>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</si>
  <si>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</si>
  <si>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</si>
  <si>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</si>
  <si>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</si>
  <si>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</si>
  <si>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</si>
  <si>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</si>
  <si>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</si>
  <si>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</si>
  <si>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</si>
  <si>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</si>
  <si>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</si>
  <si>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</si>
  <si>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</si>
  <si>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</si>
  <si>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</si>
  <si>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</si>
  <si>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</si>
  <si>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</si>
  <si>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</si>
  <si>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</si>
  <si>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</si>
  <si>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</si>
  <si>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</si>
  <si>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</si>
  <si>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</si>
  <si>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</si>
  <si>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</si>
  <si>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</si>
  <si>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</si>
  <si>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</si>
  <si>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</si>
  <si>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</si>
  <si>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</si>
  <si>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</si>
  <si>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</si>
  <si>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</si>
  <si>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</si>
  <si>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</si>
  <si>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</si>
  <si>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</si>
  <si>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</si>
  <si>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</si>
  <si>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</si>
  <si>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</si>
  <si>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</si>
  <si>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</si>
  <si>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</si>
  <si>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</si>
  <si>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</si>
  <si>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</si>
  <si>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</si>
  <si>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</si>
  <si>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</si>
  <si>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</si>
  <si>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</si>
  <si>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</si>
  <si>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</si>
  <si>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</si>
  <si>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</si>
  <si>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</si>
  <si>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</si>
  <si>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</si>
  <si>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</si>
  <si>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</si>
  <si>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</si>
  <si>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</si>
  <si>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</si>
  <si>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</si>
  <si>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</si>
  <si>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</si>
  <si>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</si>
  <si>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</si>
  <si>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</si>
  <si>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</si>
  <si>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</si>
  <si>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</si>
  <si>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</si>
  <si>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</si>
  <si>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</si>
  <si>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</si>
  <si>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</si>
  <si>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</si>
  <si>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</si>
  <si>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</si>
  <si>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</si>
  <si>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</si>
  <si>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</si>
  <si>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</si>
  <si>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</si>
  <si>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</si>
  <si>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</si>
  <si>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</si>
  <si>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</si>
  <si>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</si>
  <si>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</si>
  <si>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</si>
  <si>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</si>
  <si>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</si>
  <si>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</si>
  <si>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</si>
  <si>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</si>
  <si>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</si>
  <si>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</si>
  <si>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compulsion</t>
  </si>
  <si>
    <t>compulsive</t>
  </si>
  <si>
    <t>concede</t>
  </si>
  <si>
    <t>conceded</t>
  </si>
  <si>
    <t>conceit</t>
  </si>
  <si>
    <t>conceited</t>
  </si>
  <si>
    <t>concen</t>
  </si>
  <si>
    <t>concens</t>
  </si>
  <si>
    <t>concern</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</si>
  <si>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</si>
  <si>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</si>
  <si>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</si>
  <si>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</si>
  <si>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</si>
  <si>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</si>
  <si>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</si>
  <si>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</si>
  <si>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</si>
  <si>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</si>
  <si>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</si>
  <si>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</si>
  <si>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</si>
  <si>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</si>
  <si>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</si>
  <si>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</si>
  <si>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</si>
  <si>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</si>
  <si>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</si>
  <si>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</si>
  <si>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</si>
  <si>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</si>
  <si>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</si>
  <si>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</si>
  <si>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</si>
  <si>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</si>
  <si>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</si>
  <si>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</si>
  <si>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</si>
  <si>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</si>
  <si>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</si>
  <si>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</si>
  <si>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</si>
  <si>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</si>
  <si>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</si>
  <si>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</si>
  <si>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</si>
  <si>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</si>
  <si>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</si>
  <si>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</si>
  <si>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</si>
  <si>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</si>
  <si>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</si>
  <si>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</si>
  <si>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</si>
  <si>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</si>
  <si>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</si>
  <si>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</si>
  <si>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</si>
  <si>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</si>
  <si>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</si>
  <si>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</si>
  <si>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</si>
  <si>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</si>
  <si>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</si>
  <si>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</si>
  <si>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</si>
  <si>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</si>
  <si>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</si>
  <si>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</si>
  <si>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</si>
  <si>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</si>
  <si>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</si>
  <si>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</si>
  <si>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</si>
  <si>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</si>
  <si>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</si>
  <si>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</si>
  <si>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</si>
  <si>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</si>
  <si>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</si>
  <si>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</si>
  <si>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</si>
  <si>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</si>
  <si>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</si>
  <si>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</si>
  <si>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</si>
  <si>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</si>
  <si>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</si>
  <si>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</si>
  <si>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</si>
  <si>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</si>
  <si>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</si>
  <si>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</si>
  <si>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</si>
  <si>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</si>
  <si>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</si>
  <si>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</si>
  <si>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</si>
  <si>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</si>
  <si>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</si>
  <si>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</si>
  <si>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</si>
  <si>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</si>
  <si>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</si>
  <si>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</si>
  <si>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</si>
  <si>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</si>
  <si>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</si>
  <si>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</si>
  <si>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</si>
  <si>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</si>
  <si>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</si>
  <si>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</si>
  <si>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</si>
  <si>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</si>
  <si>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</si>
  <si>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</si>
  <si>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</si>
  <si>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</si>
  <si>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</si>
  <si>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</si>
  <si>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</si>
  <si>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</si>
  <si>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</si>
  <si>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</si>
  <si>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</si>
  <si>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</si>
  <si>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</si>
  <si>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</si>
  <si>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</si>
  <si>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</si>
  <si>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</si>
  <si>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</si>
  <si>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</si>
  <si>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</si>
  <si>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</si>
  <si>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</si>
  <si>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</si>
  <si>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</si>
  <si>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</si>
  <si>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</si>
  <si>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</si>
  <si>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</si>
  <si>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</si>
  <si>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</si>
  <si>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</si>
  <si>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</si>
  <si>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</si>
  <si>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</si>
  <si>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</si>
  <si>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</si>
  <si>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</si>
  <si>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</si>
  <si>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</si>
  <si>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</si>
  <si>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</si>
  <si>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</si>
  <si>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</si>
  <si>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</si>
  <si>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</si>
  <si>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</si>
  <si>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</si>
  <si>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</si>
  <si>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</si>
  <si>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</si>
  <si>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</si>
  <si>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</si>
  <si>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</si>
  <si>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</si>
  <si>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</si>
  <si>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</si>
  <si>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</si>
  <si>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</si>
  <si>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</si>
  <si>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</si>
  <si>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</si>
  <si>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</si>
  <si>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</si>
  <si>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</si>
  <si>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</si>
  <si>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</si>
  <si>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</si>
  <si>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</si>
  <si>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</si>
  <si>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</si>
  <si>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</si>
  <si>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</si>
  <si>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</si>
  <si>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</si>
  <si>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</si>
  <si>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</si>
  <si>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</si>
  <si>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</si>
  <si>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</si>
  <si>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</si>
  <si>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</si>
  <si>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</si>
  <si>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</si>
  <si>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</si>
  <si>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</si>
  <si>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</si>
  <si>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</si>
  <si>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</si>
  <si>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</si>
  <si>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</si>
  <si>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</si>
  <si>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</si>
  <si>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</si>
  <si>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</si>
  <si>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</si>
  <si>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</si>
  <si>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</si>
  <si>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</si>
  <si>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</si>
  <si>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</si>
  <si>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</si>
  <si>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</si>
  <si>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</si>
  <si>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</si>
  <si>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</si>
  <si>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</si>
  <si>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</si>
  <si>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</si>
  <si>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</si>
  <si>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</si>
  <si>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</si>
  <si>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</si>
  <si>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</si>
  <si>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</si>
  <si>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</si>
  <si>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</si>
  <si>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</si>
  <si>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</si>
  <si>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</si>
  <si>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</si>
  <si>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</si>
  <si>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</si>
  <si>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</si>
  <si>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</si>
  <si>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</si>
  <si>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</si>
  <si>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</si>
  <si>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</si>
  <si>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</si>
  <si>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</si>
  <si>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</si>
  <si>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</si>
  <si>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</si>
  <si>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</si>
  <si>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</si>
  <si>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</si>
  <si>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</si>
  <si>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</si>
  <si>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</si>
  <si>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</si>
  <si>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</si>
  <si>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</si>
  <si>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</si>
  <si>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</si>
  <si>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</si>
  <si>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</si>
  <si>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</si>
  <si>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</si>
  <si>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</si>
  <si>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</si>
  <si>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</si>
  <si>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</si>
  <si>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</si>
  <si>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</si>
  <si>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</si>
  <si>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</si>
  <si>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</si>
  <si>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</si>
  <si>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</si>
  <si>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</si>
  <si>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</si>
  <si>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</si>
  <si>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</si>
  <si>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</si>
  <si>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</si>
  <si>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</si>
  <si>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</si>
  <si>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</si>
  <si>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</si>
  <si>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</si>
  <si>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</si>
  <si>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</si>
  <si>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</si>
  <si>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</si>
  <si>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</si>
  <si>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</si>
  <si>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</si>
  <si>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</si>
  <si>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</si>
  <si>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</si>
  <si>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</si>
  <si>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</si>
  <si>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</si>
  <si>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</si>
  <si>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demonize</t>
  </si>
  <si>
    <t>demonized</t>
  </si>
  <si>
    <t>demonizes</t>
  </si>
  <si>
    <t>demonizing</t>
  </si>
  <si>
    <t>demoralize</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</si>
  <si>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</si>
  <si>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</si>
  <si>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</si>
  <si>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</si>
  <si>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</si>
  <si>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</si>
  <si>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</si>
  <si>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</si>
  <si>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</si>
  <si>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</si>
  <si>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</si>
  <si>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</si>
  <si>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</si>
  <si>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</si>
  <si>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</si>
  <si>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</si>
  <si>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</si>
  <si>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</si>
  <si>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</si>
  <si>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</si>
  <si>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</si>
  <si>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</si>
  <si>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</si>
  <si>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</si>
  <si>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</si>
  <si>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</si>
  <si>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</si>
  <si>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</si>
  <si>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</si>
  <si>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</si>
  <si>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</si>
  <si>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</si>
  <si>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</si>
  <si>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</si>
  <si>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</si>
  <si>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</si>
  <si>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</si>
  <si>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</si>
  <si>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</si>
  <si>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</si>
  <si>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</si>
  <si>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</si>
  <si>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</si>
  <si>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</si>
  <si>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</si>
  <si>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</si>
  <si>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</si>
  <si>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</si>
  <si>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</si>
  <si>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</si>
  <si>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</si>
  <si>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</si>
  <si>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</si>
  <si>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</si>
  <si>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</si>
  <si>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</si>
  <si>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</si>
  <si>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</si>
  <si>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</si>
  <si>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</si>
  <si>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</si>
  <si>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</si>
  <si>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</si>
  <si>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</si>
  <si>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</si>
  <si>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</si>
  <si>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</si>
  <si>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</si>
  <si>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</si>
  <si>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</si>
  <si>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</si>
  <si>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</si>
  <si>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</si>
  <si>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</si>
  <si>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</si>
  <si>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</si>
  <si>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</si>
  <si>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</si>
  <si>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</si>
  <si>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</si>
  <si>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</si>
  <si>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</si>
  <si>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</si>
  <si>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</si>
  <si>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</si>
  <si>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</si>
  <si>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</si>
  <si>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</si>
  <si>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</si>
  <si>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</si>
  <si>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</si>
  <si>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</si>
  <si>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</si>
  <si>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</si>
  <si>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</si>
  <si>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</si>
  <si>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</si>
  <si>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</si>
  <si>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</si>
  <si>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</si>
  <si>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</si>
  <si>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</si>
  <si>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</si>
  <si>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</si>
  <si>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</si>
  <si>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</si>
  <si>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</si>
  <si>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</si>
  <si>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</si>
  <si>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</si>
  <si>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</si>
  <si>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</si>
  <si>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</si>
  <si>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</si>
  <si>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</si>
  <si>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</si>
  <si>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</si>
  <si>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</si>
  <si>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</si>
  <si>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</si>
  <si>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</si>
  <si>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</si>
  <si>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</si>
  <si>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</si>
  <si>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</si>
  <si>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</si>
  <si>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</si>
  <si>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</si>
  <si>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</si>
  <si>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</si>
  <si>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</si>
  <si>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</si>
  <si>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</si>
  <si>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</si>
  <si>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</si>
  <si>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</si>
  <si>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</si>
  <si>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</si>
  <si>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</si>
  <si>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</si>
  <si>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</si>
  <si>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</si>
  <si>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</si>
  <si>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</si>
  <si>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</si>
  <si>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</si>
  <si>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</si>
  <si>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</si>
  <si>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</si>
  <si>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</si>
  <si>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</si>
  <si>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</si>
  <si>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</si>
  <si>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</si>
  <si>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</si>
  <si>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</si>
  <si>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</si>
  <si>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</si>
  <si>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</si>
  <si>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</si>
  <si>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</si>
  <si>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</si>
  <si>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</si>
  <si>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</si>
  <si>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</si>
  <si>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</si>
  <si>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</si>
  <si>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</si>
  <si>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</si>
  <si>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</si>
  <si>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</si>
  <si>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</si>
  <si>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</si>
  <si>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</si>
  <si>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</si>
  <si>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</si>
  <si>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</si>
  <si>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</si>
  <si>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</si>
  <si>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</si>
  <si>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</si>
  <si>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</si>
  <si>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</si>
  <si>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</si>
  <si>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</si>
  <si>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</si>
  <si>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</si>
  <si>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</si>
  <si>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</si>
  <si>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</si>
  <si>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</si>
  <si>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</si>
  <si>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</si>
  <si>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</si>
  <si>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</si>
  <si>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</si>
  <si>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</si>
  <si>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</si>
  <si>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</si>
  <si>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</si>
  <si>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</si>
  <si>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</si>
  <si>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</si>
  <si>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</si>
  <si>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</si>
  <si>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</si>
  <si>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</si>
  <si>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</si>
  <si>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</si>
  <si>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</si>
  <si>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</si>
  <si>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</si>
  <si>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</si>
  <si>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</si>
  <si>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</si>
  <si>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</si>
  <si>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</si>
  <si>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</si>
  <si>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</si>
  <si>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</si>
  <si>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</si>
  <si>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</si>
  <si>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</si>
  <si>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</si>
  <si>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</si>
  <si>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</si>
  <si>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</si>
  <si>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</si>
  <si>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</si>
  <si>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</si>
  <si>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</si>
  <si>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</si>
  <si>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</si>
  <si>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</si>
  <si>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</si>
  <si>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</si>
  <si>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</si>
  <si>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</si>
  <si>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</si>
  <si>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</si>
  <si>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</si>
  <si>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</si>
  <si>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</si>
  <si>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</si>
  <si>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</si>
  <si>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</si>
  <si>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</si>
  <si>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</si>
  <si>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</si>
  <si>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</si>
  <si>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</si>
  <si>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</si>
  <si>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</si>
  <si>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</si>
  <si>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</si>
  <si>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</si>
  <si>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</si>
  <si>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</si>
  <si>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</si>
  <si>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</si>
  <si>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</si>
  <si>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</si>
  <si>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</si>
  <si>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</si>
  <si>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</si>
  <si>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</si>
  <si>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</si>
  <si>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</si>
  <si>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</si>
  <si>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</si>
  <si>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</si>
  <si>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</si>
  <si>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</si>
  <si>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</si>
  <si>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</si>
  <si>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</si>
  <si>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</si>
  <si>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</si>
  <si>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</si>
  <si>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</si>
  <si>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</si>
  <si>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</si>
  <si>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</si>
  <si>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</si>
  <si>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</si>
  <si>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</si>
  <si>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</si>
  <si>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</si>
  <si>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</si>
  <si>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</si>
  <si>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</si>
  <si>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</si>
  <si>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</si>
  <si>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</si>
  <si>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</si>
  <si>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</si>
  <si>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</si>
  <si>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</si>
  <si>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</si>
  <si>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</si>
  <si>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</si>
  <si>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</si>
  <si>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</si>
  <si>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</si>
  <si>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</si>
  <si>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</si>
  <si>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</si>
  <si>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</si>
  <si>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</si>
  <si>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</si>
  <si>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</si>
  <si>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</si>
  <si>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</si>
  <si>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</si>
  <si>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</si>
  <si>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</si>
  <si>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</si>
  <si>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</si>
  <si>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</si>
  <si>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</si>
  <si>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</si>
  <si>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</si>
  <si>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</si>
  <si>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</si>
  <si>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</si>
  <si>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</si>
  <si>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</si>
  <si>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</si>
  <si>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</si>
  <si>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</si>
  <si>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</si>
  <si>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</si>
  <si>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</si>
  <si>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</si>
  <si>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</si>
  <si>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</si>
  <si>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</si>
  <si>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</si>
  <si>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</si>
  <si>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</si>
  <si>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</si>
  <si>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</si>
  <si>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</si>
  <si>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</si>
  <si>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</si>
  <si>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</si>
  <si>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</si>
  <si>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</si>
  <si>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</si>
  <si>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</si>
  <si>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</si>
  <si>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</si>
  <si>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</si>
  <si>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</si>
  <si>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</si>
  <si>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</si>
  <si>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</si>
  <si>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</si>
  <si>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</si>
  <si>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</si>
  <si>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</si>
  <si>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</si>
  <si>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</si>
  <si>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</si>
  <si>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</si>
  <si>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</si>
  <si>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</si>
  <si>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</si>
  <si>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</si>
  <si>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</si>
  <si>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</si>
  <si>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</si>
  <si>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</si>
  <si>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</si>
  <si>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</si>
  <si>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</si>
  <si>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</si>
  <si>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</si>
  <si>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</si>
  <si>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</si>
  <si>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</si>
  <si>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</si>
  <si>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</si>
  <si>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</si>
  <si>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</si>
  <si>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</si>
  <si>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</si>
  <si>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</si>
  <si>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</si>
  <si>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</si>
  <si>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</si>
  <si>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</si>
  <si>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</si>
  <si>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</si>
  <si>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</si>
  <si>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</si>
  <si>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</si>
  <si>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</si>
  <si>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</si>
  <si>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</si>
  <si>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</si>
  <si>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</si>
  <si>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</si>
  <si>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</si>
  <si>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</si>
  <si>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</si>
  <si>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</si>
  <si>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</si>
  <si>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</si>
  <si>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</si>
  <si>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</si>
  <si>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</si>
  <si>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</si>
  <si>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</si>
  <si>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</si>
  <si>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</si>
  <si>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</si>
  <si>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</si>
  <si>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</si>
  <si>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</si>
  <si>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</si>
  <si>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</si>
  <si>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</si>
  <si>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</si>
  <si>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</si>
  <si>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</si>
  <si>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</si>
  <si>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</si>
  <si>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</si>
  <si>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</si>
  <si>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</si>
  <si>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</si>
  <si>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</si>
  <si>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</si>
  <si>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</si>
  <si>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</si>
  <si>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</si>
  <si>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</si>
  <si>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</si>
  <si>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</si>
  <si>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</si>
  <si>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</si>
  <si>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</si>
  <si>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</si>
  <si>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</si>
  <si>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</si>
  <si>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</si>
  <si>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</si>
  <si>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</si>
  <si>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</si>
  <si>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</si>
  <si>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</si>
  <si>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</si>
  <si>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</si>
  <si>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</si>
  <si>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</si>
  <si>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</si>
  <si>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</si>
  <si>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</si>
  <si>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</si>
  <si>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</si>
  <si>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</si>
  <si>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</si>
  <si>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</si>
  <si>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</si>
  <si>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</si>
  <si>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</si>
  <si>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</si>
  <si>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</si>
  <si>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</si>
  <si>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</si>
  <si>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</si>
  <si>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</si>
  <si>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</si>
  <si>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</si>
  <si>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</si>
  <si>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</si>
  <si>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</si>
  <si>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</si>
  <si>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</si>
  <si>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</si>
  <si>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</si>
  <si>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</si>
  <si>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</si>
  <si>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</si>
  <si>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</si>
  <si>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</si>
  <si>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</si>
  <si>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</si>
  <si>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</si>
  <si>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</si>
  <si>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</si>
  <si>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</si>
  <si>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</si>
  <si>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</si>
  <si>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</si>
  <si>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</si>
  <si>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</si>
  <si>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</si>
  <si>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</si>
  <si>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</si>
  <si>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</si>
  <si>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</si>
  <si>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</si>
  <si>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</si>
  <si>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</si>
  <si>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</si>
  <si>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</si>
  <si>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</si>
  <si>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</si>
  <si>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</si>
  <si>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</si>
  <si>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</si>
  <si>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</si>
  <si>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</si>
  <si>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</si>
  <si>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</si>
  <si>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</si>
  <si>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</si>
  <si>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</si>
  <si>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</si>
  <si>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</si>
  <si>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</si>
  <si>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</si>
  <si>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</si>
  <si>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</si>
  <si>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</si>
  <si>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</si>
  <si>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</si>
  <si>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</si>
  <si>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</si>
  <si>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</si>
  <si>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</si>
  <si>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</si>
  <si>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</si>
  <si>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</si>
  <si>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</si>
  <si>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</si>
  <si>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</si>
  <si>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</si>
  <si>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</si>
  <si>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</si>
  <si>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</si>
  <si>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</si>
  <si>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</si>
  <si>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</si>
  <si>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</si>
  <si>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</si>
  <si>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</si>
  <si>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</si>
  <si>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</si>
  <si>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</si>
  <si>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</si>
  <si>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</si>
  <si>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</si>
  <si>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</si>
  <si>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</si>
  <si>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</si>
  <si>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</si>
  <si>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</si>
  <si>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</si>
  <si>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</si>
  <si>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</si>
  <si>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</si>
  <si>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</si>
  <si>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</si>
  <si>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</si>
  <si>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</si>
  <si>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</si>
  <si>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</si>
  <si>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</si>
  <si>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</si>
  <si>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</si>
  <si>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</si>
  <si>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</si>
  <si>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</si>
  <si>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</si>
  <si>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</si>
  <si>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</si>
  <si>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</si>
  <si>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</si>
  <si>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</si>
  <si>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</si>
  <si>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</si>
  <si>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</si>
  <si>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</si>
  <si>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</si>
  <si>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</si>
  <si>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</si>
  <si>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</si>
  <si>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</si>
  <si>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</si>
  <si>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</si>
  <si>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</si>
  <si>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</si>
  <si>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</si>
  <si>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</si>
  <si>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</si>
  <si>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</si>
  <si>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</si>
  <si>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</si>
  <si>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</si>
  <si>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</si>
  <si>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</si>
  <si>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</si>
  <si>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</si>
  <si>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</si>
  <si>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</si>
  <si>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</si>
  <si>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</si>
  <si>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</si>
  <si>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</si>
  <si>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</si>
  <si>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</si>
  <si>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</si>
  <si>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</si>
  <si>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</si>
  <si>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</si>
  <si>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</si>
  <si>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</si>
  <si>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</si>
  <si>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</si>
  <si>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</si>
  <si>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</si>
  <si>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</si>
  <si>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</si>
  <si>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</si>
  <si>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</si>
  <si>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</si>
  <si>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</si>
  <si>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</si>
  <si>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</si>
  <si>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</si>
  <si>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</si>
  <si>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</si>
  <si>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</si>
  <si>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</si>
  <si>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</si>
  <si>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</si>
  <si>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</si>
  <si>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</si>
  <si>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</si>
  <si>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</si>
  <si>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</si>
  <si>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</si>
  <si>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</si>
  <si>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</si>
  <si>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</si>
  <si>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</si>
  <si>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</si>
  <si>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</si>
  <si>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</si>
  <si>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</si>
  <si>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</si>
  <si>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</si>
  <si>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</si>
  <si>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</si>
  <si>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</si>
  <si>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</si>
  <si>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</si>
  <si>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</si>
  <si>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</si>
  <si>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</si>
  <si>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</si>
  <si>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</si>
  <si>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</si>
  <si>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</si>
  <si>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</si>
  <si>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</si>
  <si>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</si>
  <si>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</si>
  <si>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</si>
  <si>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</si>
  <si>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</si>
  <si>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</si>
  <si>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</si>
  <si>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</si>
  <si>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</si>
  <si>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</si>
  <si>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</si>
  <si>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</si>
  <si>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</si>
  <si>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</si>
  <si>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</si>
  <si>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</si>
  <si>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</si>
  <si>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</si>
  <si>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</si>
  <si>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</si>
  <si>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</si>
  <si>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</si>
  <si>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</si>
  <si>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</si>
  <si>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</si>
  <si>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</si>
  <si>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</si>
  <si>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</si>
  <si>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</si>
  <si>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</si>
  <si>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</si>
  <si>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</si>
  <si>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</si>
  <si>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</si>
  <si>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</si>
  <si>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</si>
  <si>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</si>
  <si>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</si>
  <si>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</si>
  <si>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</si>
  <si>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</si>
  <si>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</si>
  <si>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</si>
  <si>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</si>
  <si>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</si>
  <si>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</si>
  <si>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</si>
  <si>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</si>
  <si>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</si>
  <si>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</si>
  <si>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</si>
  <si>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</si>
  <si>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</si>
  <si>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</si>
  <si>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</si>
  <si>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</si>
  <si>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</si>
  <si>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</si>
  <si>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</si>
  <si>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</si>
  <si>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</si>
  <si>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</si>
  <si>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</si>
  <si>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</si>
  <si>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</si>
  <si>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</si>
  <si>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</si>
  <si>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</si>
  <si>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</si>
  <si>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</si>
  <si>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</si>
  <si>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</si>
  <si>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</si>
  <si>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</si>
  <si>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</si>
  <si>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</si>
  <si>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</si>
  <si>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</si>
  <si>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</si>
  <si>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</si>
  <si>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</si>
  <si>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</si>
  <si>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</si>
  <si>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</si>
  <si>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</si>
  <si>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</si>
  <si>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</si>
  <si>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</si>
  <si>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</si>
  <si>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</si>
  <si>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</si>
  <si>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</si>
  <si>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</si>
  <si>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</si>
  <si>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</si>
  <si>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</si>
  <si>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</si>
  <si>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</si>
  <si>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</si>
  <si>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</si>
  <si>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</si>
  <si>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</si>
  <si>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</si>
  <si>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</si>
  <si>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</si>
  <si>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</si>
  <si>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</si>
  <si>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</si>
  <si>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</si>
  <si>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</si>
  <si>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</si>
  <si>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</si>
  <si>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</si>
  <si>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</si>
  <si>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</si>
  <si>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</si>
  <si>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</si>
  <si>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</si>
  <si>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</si>
  <si>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</si>
  <si>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</si>
  <si>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</si>
  <si>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</si>
  <si>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</si>
  <si>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</si>
  <si>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</si>
  <si>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</si>
  <si>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</si>
  <si>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</si>
  <si>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</si>
  <si>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</si>
  <si>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</si>
  <si>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</si>
  <si>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</si>
  <si>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</si>
  <si>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</si>
  <si>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</si>
  <si>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</si>
  <si>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</si>
  <si>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</si>
  <si>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</si>
  <si>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</si>
  <si>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</si>
  <si>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</si>
  <si>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</si>
  <si>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</si>
  <si>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</si>
  <si>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</si>
  <si>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</si>
  <si>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</si>
  <si>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</si>
  <si>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</si>
  <si>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</si>
  <si>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</si>
  <si>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</si>
  <si>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</si>
  <si>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</si>
  <si>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</si>
  <si>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</si>
  <si>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</si>
  <si>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</si>
  <si>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</si>
  <si>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</si>
  <si>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</si>
  <si>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</si>
  <si>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</si>
  <si>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</si>
  <si>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</si>
  <si>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</si>
  <si>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</si>
  <si>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</si>
  <si>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</si>
  <si>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</si>
  <si>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</si>
  <si>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</si>
  <si>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</si>
  <si>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</si>
  <si>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</si>
  <si>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</si>
  <si>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</si>
  <si>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</si>
  <si>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</si>
  <si>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</si>
  <si>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</si>
  <si>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</si>
  <si>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</si>
  <si>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</si>
  <si>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</si>
  <si>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</si>
  <si>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</si>
  <si>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</si>
  <si>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</si>
  <si>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</si>
  <si>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</si>
  <si>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</si>
  <si>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</si>
  <si>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</si>
  <si>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</si>
  <si>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</si>
  <si>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</si>
  <si>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</si>
  <si>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</si>
  <si>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</si>
  <si>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</si>
  <si>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</si>
  <si>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</si>
  <si>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</si>
  <si>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</si>
  <si>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</si>
  <si>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</si>
  <si>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</si>
  <si>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</si>
  <si>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</si>
  <si>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</si>
  <si>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</si>
  <si>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</si>
  <si>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</si>
  <si>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</si>
  <si>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</si>
  <si>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</si>
  <si>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</si>
  <si>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</si>
  <si>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</si>
  <si>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</si>
  <si>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</si>
  <si>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</si>
  <si>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</si>
  <si>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</si>
  <si>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</si>
  <si>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</si>
  <si>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</si>
  <si>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</si>
  <si>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</si>
  <si>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</si>
  <si>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</si>
  <si>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</si>
  <si>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</si>
  <si>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</si>
  <si>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</si>
  <si>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</si>
  <si>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</si>
  <si>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</si>
  <si>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</si>
  <si>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</si>
  <si>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</si>
  <si>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</si>
  <si>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</si>
  <si>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</si>
  <si>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</si>
  <si>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</si>
  <si>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</si>
  <si>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</si>
  <si>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</si>
  <si>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</si>
  <si>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</si>
  <si>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</si>
  <si>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</si>
  <si>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</si>
  <si>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</si>
  <si>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</si>
  <si>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</si>
  <si>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</si>
  <si>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</si>
  <si>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</si>
  <si>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</si>
  <si>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</si>
  <si>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</si>
  <si>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</si>
  <si>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</si>
  <si>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</si>
  <si>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</si>
  <si>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</si>
  <si>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</si>
  <si>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</si>
  <si>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</si>
  <si>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</si>
  <si>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</si>
  <si>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</si>
  <si>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</si>
  <si>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</si>
  <si>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</si>
  <si>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</si>
  <si>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</si>
  <si>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</si>
  <si>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</si>
  <si>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</si>
  <si>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</si>
  <si>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</si>
  <si>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</si>
  <si>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</si>
  <si>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</si>
  <si>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</si>
  <si>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</si>
  <si>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</si>
  <si>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</si>
  <si>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</si>
  <si>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</si>
  <si>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</si>
  <si>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</si>
  <si>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</si>
  <si>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</si>
  <si>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</si>
  <si>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</si>
  <si>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</si>
  <si>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</si>
  <si>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</si>
  <si>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</si>
  <si>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</si>
  <si>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</si>
  <si>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</si>
  <si>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</si>
  <si>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</si>
  <si>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</si>
  <si>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</si>
  <si>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</si>
  <si>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</si>
  <si>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</si>
  <si>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</si>
  <si>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</si>
  <si>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</si>
  <si>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</si>
  <si>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</si>
  <si>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</si>
  <si>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</si>
  <si>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</si>
  <si>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</si>
  <si>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</si>
  <si>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</si>
  <si>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</si>
  <si>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</si>
  <si>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</si>
  <si>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</si>
  <si>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</si>
  <si>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</si>
  <si>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</si>
  <si>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</si>
  <si>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</si>
  <si>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</si>
  <si>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</si>
  <si>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</si>
  <si>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</si>
  <si>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</si>
  <si>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</si>
  <si>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</si>
  <si>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</si>
  <si>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</si>
  <si>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</si>
  <si>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</si>
  <si>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</si>
  <si>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</si>
  <si>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</si>
  <si>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</si>
  <si>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</si>
  <si>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</si>
  <si>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</si>
  <si>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</si>
  <si>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</si>
  <si>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</si>
  <si>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</si>
  <si>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</si>
  <si>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</si>
  <si>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</si>
  <si>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</si>
  <si>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</si>
  <si>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</si>
  <si>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</si>
  <si>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</si>
  <si>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</si>
  <si>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</si>
  <si>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</si>
  <si>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</si>
  <si>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</si>
  <si>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</si>
  <si>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</si>
  <si>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</si>
  <si>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</si>
  <si>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</si>
  <si>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</si>
  <si>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</si>
  <si>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</si>
  <si>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</si>
  <si>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</si>
  <si>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</si>
  <si>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</si>
  <si>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</si>
  <si>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</si>
  <si>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</si>
  <si>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</si>
  <si>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</si>
  <si>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</si>
  <si>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</si>
  <si>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</si>
  <si>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</si>
  <si>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</si>
  <si>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</si>
  <si>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</si>
  <si>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</si>
  <si>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</si>
  <si>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</si>
  <si>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</si>
  <si>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</si>
  <si>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</si>
  <si>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</si>
  <si>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</si>
  <si>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</si>
  <si>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</si>
  <si>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</si>
  <si>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</si>
  <si>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</si>
  <si>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</si>
  <si>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</si>
  <si>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</si>
  <si>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</si>
  <si>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</si>
  <si>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</si>
  <si>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</si>
  <si>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</si>
  <si>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</si>
  <si>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</si>
  <si>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</si>
  <si>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</si>
  <si>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</si>
  <si>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</si>
  <si>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</si>
  <si>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</si>
  <si>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</si>
  <si>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</si>
  <si>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</si>
  <si>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</si>
  <si>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</si>
  <si>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</si>
  <si>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</si>
  <si>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</si>
  <si>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</si>
  <si>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</si>
  <si>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</si>
  <si>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</si>
  <si>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</si>
  <si>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</si>
  <si>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</si>
  <si>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</si>
  <si>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</si>
  <si>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</si>
  <si>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</si>
  <si>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</si>
  <si>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</si>
  <si>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</si>
  <si>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</si>
  <si>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</si>
  <si>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</si>
  <si>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</si>
  <si>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</si>
  <si>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</si>
  <si>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</si>
  <si>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</si>
  <si>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</si>
  <si>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</si>
  <si>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</si>
  <si>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</si>
  <si>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</si>
  <si>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</si>
  <si>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</si>
  <si>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</si>
  <si>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</si>
  <si>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</si>
  <si>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</si>
  <si>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</si>
  <si>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</si>
  <si>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</si>
  <si>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</si>
  <si>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</si>
  <si>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</si>
  <si>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</si>
  <si>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</si>
  <si>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</si>
  <si>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</si>
  <si>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</si>
  <si>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</si>
  <si>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</si>
  <si>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</si>
  <si>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</si>
  <si>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</si>
  <si>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</si>
  <si>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</si>
  <si>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</si>
  <si>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</si>
  <si>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</si>
  <si>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</si>
  <si>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</si>
  <si>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</si>
  <si>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</si>
  <si>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</si>
  <si>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</si>
  <si>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</si>
  <si>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</si>
  <si>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</si>
  <si>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</si>
  <si>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</si>
  <si>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</si>
  <si>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</si>
  <si>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</si>
  <si>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</si>
  <si>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</si>
  <si>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</si>
  <si>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</si>
  <si>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</si>
  <si>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</si>
  <si>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</si>
  <si>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</si>
  <si>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</si>
  <si>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</si>
  <si>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</si>
  <si>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</si>
  <si>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</si>
  <si>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</si>
  <si>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</si>
  <si>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</si>
  <si>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</si>
  <si>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</si>
  <si>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</si>
  <si>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</si>
  <si>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</si>
  <si>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</si>
  <si>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</si>
  <si>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</si>
  <si>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</si>
  <si>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</si>
  <si>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</si>
  <si>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</si>
  <si>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</si>
  <si>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</si>
  <si>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</si>
  <si>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</si>
  <si>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</si>
  <si>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</si>
  <si>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</si>
  <si>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</si>
  <si>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</si>
  <si>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</si>
  <si>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</si>
  <si>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</si>
  <si>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</si>
  <si>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</si>
  <si>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</si>
  <si>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</si>
  <si>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</si>
  <si>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</si>
  <si>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</si>
  <si>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</si>
  <si>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</si>
  <si>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</si>
  <si>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</si>
  <si>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</si>
  <si>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</si>
  <si>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</si>
  <si>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</si>
  <si>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</si>
  <si>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</si>
  <si>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</si>
  <si>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</si>
  <si>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</si>
  <si>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</si>
  <si>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</si>
  <si>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</si>
  <si>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</si>
  <si>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</si>
  <si>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</si>
  <si>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</si>
  <si>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</si>
  <si>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</si>
  <si>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</si>
  <si>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</si>
  <si>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</si>
  <si>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</si>
  <si>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</si>
  <si>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</si>
  <si>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</si>
  <si>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</si>
  <si>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</si>
  <si>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</si>
  <si>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</si>
  <si>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</si>
  <si>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</si>
  <si>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</si>
  <si>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</si>
  <si>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</si>
  <si>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</si>
  <si>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</si>
  <si>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</si>
  <si>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</si>
  <si>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</si>
  <si>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</si>
  <si>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</si>
  <si>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</si>
  <si>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</si>
  <si>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</si>
  <si>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</si>
  <si>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</si>
  <si>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</si>
  <si>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</si>
  <si>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</si>
  <si>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</si>
  <si>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</si>
  <si>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</si>
  <si>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</si>
  <si>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</si>
  <si>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</si>
  <si>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</si>
  <si>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</si>
  <si>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</si>
  <si>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</si>
  <si>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</si>
  <si>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</si>
  <si>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</si>
  <si>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</si>
  <si>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</si>
  <si>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</si>
  <si>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</si>
  <si>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</si>
  <si>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</si>
  <si>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</si>
  <si>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</si>
  <si>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</si>
  <si>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</si>
  <si>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</si>
  <si>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</si>
  <si>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</si>
  <si>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</si>
  <si>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</si>
  <si>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</si>
  <si>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</si>
  <si>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</si>
  <si>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</si>
  <si>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</si>
  <si>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</si>
  <si>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</si>
  <si>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</si>
  <si>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</si>
  <si>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</si>
  <si>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</si>
  <si>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</si>
  <si>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</si>
  <si>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</si>
  <si>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</si>
  <si>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</si>
  <si>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</si>
  <si>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</si>
  <si>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</si>
  <si>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</si>
  <si>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</si>
  <si>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</si>
  <si>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</si>
  <si>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</si>
  <si>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</si>
  <si>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</si>
  <si>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</si>
  <si>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</si>
  <si>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</si>
  <si>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</si>
  <si>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</si>
  <si>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</si>
  <si>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</si>
  <si>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</si>
  <si>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</si>
  <si>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</si>
  <si>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</si>
  <si>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</si>
  <si>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</si>
  <si>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</si>
  <si>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</si>
  <si>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</si>
  <si>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</si>
  <si>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</si>
  <si>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</si>
  <si>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</si>
  <si>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</si>
  <si>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</si>
  <si>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</si>
  <si>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</si>
  <si>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</si>
  <si>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</si>
  <si>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</si>
  <si>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</si>
  <si>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</si>
  <si>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</si>
  <si>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</si>
  <si>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</si>
  <si>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</si>
  <si>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</si>
  <si>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</si>
  <si>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</si>
  <si>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</si>
  <si>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</si>
  <si>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</si>
  <si>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</si>
  <si>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</si>
  <si>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</si>
  <si>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</si>
  <si>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</si>
  <si>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</si>
  <si>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</si>
  <si>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</si>
  <si>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</si>
  <si>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</si>
  <si>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</si>
  <si>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</si>
  <si>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</si>
  <si>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</si>
  <si>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</si>
  <si>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</si>
  <si>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</si>
  <si>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</si>
  <si>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</si>
  <si>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</si>
  <si>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</si>
  <si>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</si>
  <si>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</si>
  <si>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</si>
  <si>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</si>
  <si>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</si>
  <si>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</si>
  <si>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</si>
  <si>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</si>
  <si>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</si>
  <si>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</si>
  <si>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</si>
  <si>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</si>
  <si>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</si>
  <si>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</si>
  <si>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</si>
  <si>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</si>
  <si>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</si>
  <si>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</si>
  <si>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</si>
  <si>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</si>
  <si>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</si>
  <si>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</si>
  <si>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</si>
  <si>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</si>
  <si>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</si>
  <si>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</si>
  <si>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</si>
  <si>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</si>
  <si>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</si>
  <si>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</si>
  <si>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</si>
  <si>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</si>
  <si>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</si>
  <si>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</si>
  <si>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</si>
  <si>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</si>
  <si>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</si>
  <si>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</si>
  <si>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</si>
  <si>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</si>
  <si>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</si>
  <si>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</si>
  <si>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</si>
  <si>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</si>
  <si>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</si>
  <si>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</si>
  <si>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infuriatingly</t>
  </si>
  <si>
    <t>inglorious</t>
  </si>
  <si>
    <t>ingrate</t>
  </si>
  <si>
    <t>ingratitude</t>
  </si>
  <si>
    <t>inhibit</t>
  </si>
  <si>
    <t>inhibition</t>
  </si>
  <si>
    <t>inhospitable</t>
  </si>
  <si>
    <t>inhospitality</t>
  </si>
  <si>
    <t>inhuman</t>
  </si>
  <si>
    <t>inhumane</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</si>
  <si>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</si>
  <si>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</si>
  <si>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</si>
  <si>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</si>
  <si>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</si>
  <si>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</si>
  <si>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</si>
  <si>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</si>
  <si>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</si>
  <si>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</si>
  <si>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</si>
  <si>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</si>
  <si>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</si>
  <si>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</si>
  <si>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</si>
  <si>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</si>
  <si>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</si>
  <si>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</si>
  <si>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</si>
  <si>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</si>
  <si>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</si>
  <si>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</si>
  <si>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</si>
  <si>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</si>
  <si>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</si>
  <si>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</si>
  <si>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</si>
  <si>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</si>
  <si>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</si>
  <si>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</si>
  <si>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</si>
  <si>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</si>
  <si>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</si>
  <si>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</si>
  <si>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</si>
  <si>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</si>
  <si>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</si>
  <si>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</si>
  <si>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</si>
  <si>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</si>
  <si>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</si>
  <si>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</si>
  <si>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</si>
  <si>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</si>
  <si>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</si>
  <si>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</si>
  <si>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</si>
  <si>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</si>
  <si>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</si>
  <si>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</si>
  <si>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</si>
  <si>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</si>
  <si>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</si>
  <si>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</si>
  <si>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</si>
  <si>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</si>
  <si>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</si>
  <si>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</si>
  <si>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</si>
  <si>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</si>
  <si>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</si>
  <si>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</si>
  <si>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</si>
  <si>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</si>
  <si>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</si>
  <si>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</si>
  <si>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</si>
  <si>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</si>
  <si>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</si>
  <si>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</si>
  <si>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</si>
  <si>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</si>
  <si>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</si>
  <si>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</si>
  <si>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</si>
  <si>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</si>
  <si>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</si>
  <si>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</si>
  <si>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</si>
  <si>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</si>
  <si>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</si>
  <si>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</si>
  <si>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</si>
  <si>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</si>
  <si>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</si>
  <si>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</si>
  <si>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</si>
  <si>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</si>
  <si>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</si>
  <si>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</si>
  <si>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</si>
  <si>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</si>
  <si>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</si>
  <si>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</si>
  <si>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</si>
  <si>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</si>
  <si>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</si>
  <si>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</si>
  <si>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</si>
  <si>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</si>
  <si>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</si>
  <si>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</si>
  <si>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</si>
  <si>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</si>
  <si>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</si>
  <si>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</si>
  <si>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</si>
  <si>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</si>
  <si>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</si>
  <si>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</si>
  <si>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</si>
  <si>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</si>
  <si>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</si>
  <si>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</si>
  <si>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</si>
  <si>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</si>
  <si>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</si>
  <si>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</si>
  <si>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</si>
  <si>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</si>
  <si>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</si>
  <si>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</si>
  <si>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</si>
  <si>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</si>
  <si>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</si>
  <si>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</si>
  <si>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</si>
  <si>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</si>
  <si>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</si>
  <si>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</si>
  <si>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</si>
  <si>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</si>
  <si>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</si>
  <si>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</si>
  <si>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</si>
  <si>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</si>
  <si>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</si>
  <si>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</si>
  <si>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</si>
  <si>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</si>
  <si>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</si>
  <si>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</si>
  <si>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</si>
  <si>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</si>
  <si>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</si>
  <si>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</si>
  <si>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</si>
  <si>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</si>
  <si>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</si>
  <si>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</si>
  <si>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</si>
  <si>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</si>
  <si>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</si>
  <si>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</si>
  <si>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</si>
  <si>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</si>
  <si>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</si>
  <si>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</si>
  <si>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</si>
  <si>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</si>
  <si>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</si>
  <si>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</si>
  <si>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</si>
  <si>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</si>
  <si>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</si>
  <si>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</si>
  <si>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</si>
  <si>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</si>
  <si>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</si>
  <si>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</si>
  <si>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</si>
  <si>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</si>
  <si>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</si>
  <si>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</si>
  <si>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</si>
  <si>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</si>
  <si>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</si>
  <si>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</si>
  <si>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</si>
  <si>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</si>
  <si>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</si>
  <si>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</si>
  <si>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</si>
  <si>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</si>
  <si>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</si>
  <si>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</si>
  <si>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</si>
  <si>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</si>
  <si>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</si>
  <si>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</si>
  <si>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</si>
  <si>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</si>
  <si>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</si>
  <si>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</si>
  <si>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</si>
  <si>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killjoy</t>
  </si>
  <si>
    <t>kills</t>
  </si>
  <si>
    <t>knave</t>
  </si>
  <si>
    <t>knife</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</si>
  <si>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</si>
  <si>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</si>
  <si>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</si>
  <si>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</si>
  <si>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</si>
  <si>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</si>
  <si>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</si>
  <si>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</si>
  <si>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</si>
  <si>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</si>
  <si>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</si>
  <si>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</si>
  <si>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</si>
  <si>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</si>
  <si>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</si>
  <si>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</si>
  <si>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</si>
  <si>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</si>
  <si>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</si>
  <si>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</si>
  <si>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</si>
  <si>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</si>
  <si>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</si>
  <si>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</si>
  <si>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</si>
  <si>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</si>
  <si>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</si>
  <si>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</si>
  <si>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</si>
  <si>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</si>
  <si>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</si>
  <si>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</si>
  <si>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</si>
  <si>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</si>
  <si>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</si>
  <si>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</si>
  <si>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</si>
  <si>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</si>
  <si>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</si>
  <si>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</si>
  <si>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</si>
  <si>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</si>
  <si>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</si>
  <si>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</si>
  <si>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</si>
  <si>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</si>
  <si>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</si>
  <si>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</si>
  <si>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</si>
  <si>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</si>
  <si>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</si>
  <si>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</si>
  <si>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</si>
  <si>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</si>
  <si>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</si>
  <si>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</si>
  <si>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</si>
  <si>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</si>
  <si>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</si>
  <si>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</si>
  <si>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</si>
  <si>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</si>
  <si>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</si>
  <si>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</si>
  <si>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</si>
  <si>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</si>
  <si>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</si>
  <si>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</si>
  <si>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</si>
  <si>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</si>
  <si>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</si>
  <si>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</si>
  <si>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</si>
  <si>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</si>
  <si>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</si>
  <si>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</si>
  <si>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</si>
  <si>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</si>
  <si>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</si>
  <si>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</si>
  <si>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</si>
  <si>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</si>
  <si>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</si>
  <si>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</si>
  <si>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</si>
  <si>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</si>
  <si>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</si>
  <si>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</si>
  <si>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</si>
  <si>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</si>
  <si>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</si>
  <si>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</si>
  <si>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</si>
  <si>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</si>
  <si>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</si>
  <si>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</si>
  <si>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</si>
  <si>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</si>
  <si>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</si>
  <si>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</si>
  <si>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</si>
  <si>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</si>
  <si>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</si>
  <si>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</si>
  <si>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</si>
  <si>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</si>
  <si>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</si>
  <si>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</si>
  <si>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</si>
  <si>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</si>
  <si>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</si>
  <si>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</si>
  <si>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</si>
  <si>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</si>
  <si>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</si>
  <si>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</si>
  <si>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</si>
  <si>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</si>
  <si>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</si>
  <si>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</si>
  <si>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</si>
  <si>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</si>
  <si>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</si>
  <si>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</si>
  <si>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</si>
  <si>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</si>
  <si>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</si>
  <si>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</si>
  <si>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</si>
  <si>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</si>
  <si>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</si>
  <si>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</si>
  <si>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</si>
  <si>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</si>
  <si>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</si>
  <si>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</si>
  <si>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</si>
  <si>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</si>
  <si>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</si>
  <si>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</si>
  <si>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</si>
  <si>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</si>
  <si>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</si>
  <si>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</si>
  <si>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</si>
  <si>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</si>
  <si>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</si>
  <si>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</si>
  <si>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</si>
  <si>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</si>
  <si>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</si>
  <si>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</si>
  <si>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</si>
  <si>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</si>
  <si>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</si>
  <si>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</si>
  <si>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</si>
  <si>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</si>
  <si>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</si>
  <si>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</si>
  <si>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</si>
  <si>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</si>
  <si>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</si>
  <si>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</si>
  <si>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</si>
  <si>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</si>
  <si>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</si>
  <si>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</si>
  <si>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</si>
  <si>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</si>
  <si>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</si>
  <si>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</si>
  <si>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</si>
  <si>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</si>
  <si>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</si>
  <si>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</si>
  <si>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</si>
  <si>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</si>
  <si>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</si>
  <si>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</si>
  <si>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</si>
  <si>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</si>
  <si>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</si>
  <si>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</si>
  <si>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</si>
  <si>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</si>
  <si>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</si>
  <si>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</si>
  <si>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</si>
  <si>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</si>
  <si>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</si>
  <si>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</si>
  <si>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</si>
  <si>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</si>
  <si>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</si>
  <si>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</si>
  <si>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</si>
  <si>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</si>
  <si>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</si>
  <si>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</si>
  <si>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</si>
  <si>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</si>
  <si>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</si>
  <si>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</si>
  <si>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</si>
  <si>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</si>
  <si>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</si>
  <si>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</si>
  <si>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</si>
  <si>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</si>
  <si>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</si>
  <si>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</si>
  <si>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</si>
  <si>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</si>
  <si>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</si>
  <si>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</si>
  <si>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</si>
  <si>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</si>
  <si>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</si>
  <si>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</si>
  <si>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</si>
  <si>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</si>
  <si>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</si>
  <si>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</si>
  <si>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</si>
  <si>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</si>
  <si>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</si>
  <si>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</si>
  <si>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</si>
  <si>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</si>
  <si>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</si>
  <si>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</si>
  <si>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</si>
  <si>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</si>
  <si>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</si>
  <si>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</si>
  <si>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</si>
  <si>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</si>
  <si>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</si>
  <si>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</si>
  <si>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</si>
  <si>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</si>
  <si>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</si>
  <si>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</si>
  <si>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</si>
  <si>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</si>
  <si>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</si>
  <si>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</si>
  <si>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</si>
  <si>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</si>
  <si>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</si>
  <si>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</si>
  <si>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</si>
  <si>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</si>
  <si>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</si>
  <si>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</si>
  <si>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</si>
  <si>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</si>
  <si>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</si>
  <si>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</si>
  <si>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</si>
  <si>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</si>
  <si>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</si>
  <si>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</si>
  <si>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</si>
  <si>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</si>
  <si>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</si>
  <si>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</si>
  <si>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</si>
  <si>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</si>
  <si>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</si>
  <si>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</si>
  <si>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</si>
  <si>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</si>
  <si>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</si>
  <si>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</si>
  <si>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</si>
  <si>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</si>
  <si>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</si>
  <si>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</si>
  <si>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</si>
  <si>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</si>
  <si>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</si>
  <si>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</si>
  <si>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</si>
  <si>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</si>
  <si>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</si>
  <si>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</si>
  <si>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</si>
  <si>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</si>
  <si>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</si>
  <si>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</si>
  <si>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</si>
  <si>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</si>
  <si>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</si>
  <si>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</si>
  <si>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</si>
  <si>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</si>
  <si>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</si>
  <si>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</si>
  <si>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</si>
  <si>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</si>
  <si>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</si>
  <si>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</si>
  <si>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</si>
  <si>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</si>
  <si>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</si>
  <si>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</si>
  <si>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</si>
  <si>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</si>
  <si>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</si>
  <si>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</si>
  <si>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</si>
  <si>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</si>
  <si>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</si>
  <si>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</si>
  <si>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</si>
  <si>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</si>
  <si>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</si>
  <si>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</si>
  <si>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</si>
  <si>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</si>
  <si>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</si>
  <si>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</si>
  <si>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</si>
  <si>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</si>
  <si>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</si>
  <si>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</si>
  <si>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</si>
  <si>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</si>
  <si>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</si>
  <si>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</si>
  <si>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</si>
  <si>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</si>
  <si>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</si>
  <si>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</si>
  <si>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</si>
  <si>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</si>
  <si>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</si>
  <si>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</si>
  <si>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</si>
  <si>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</si>
  <si>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</si>
  <si>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</si>
  <si>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</si>
  <si>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</si>
  <si>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</si>
  <si>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</si>
  <si>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</si>
  <si>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</si>
  <si>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</si>
  <si>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</si>
  <si>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</si>
  <si>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</si>
  <si>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</si>
  <si>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</si>
  <si>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</si>
  <si>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</si>
  <si>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</si>
  <si>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</si>
  <si>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</si>
  <si>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</si>
  <si>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</si>
  <si>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</si>
  <si>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</si>
  <si>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</si>
  <si>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</si>
  <si>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</si>
  <si>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</si>
  <si>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</si>
  <si>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</si>
  <si>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</si>
  <si>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</si>
  <si>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</si>
  <si>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</si>
  <si>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</si>
  <si>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</si>
  <si>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</si>
  <si>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</si>
  <si>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</si>
  <si>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</si>
  <si>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</si>
  <si>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</si>
  <si>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</si>
  <si>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</si>
  <si>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</si>
  <si>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</si>
  <si>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</si>
  <si>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</si>
  <si>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</si>
  <si>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</si>
  <si>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</si>
  <si>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</si>
  <si>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</si>
  <si>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</si>
  <si>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</si>
  <si>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</si>
  <si>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</si>
  <si>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</si>
  <si>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</si>
  <si>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</si>
  <si>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</si>
  <si>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</si>
  <si>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</si>
  <si>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</si>
  <si>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</si>
  <si>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</si>
  <si>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</si>
  <si>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</si>
  <si>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</si>
  <si>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</si>
  <si>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</si>
  <si>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</si>
  <si>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</si>
  <si>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</si>
  <si>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</si>
  <si>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</si>
  <si>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</si>
  <si>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</si>
  <si>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</si>
  <si>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</si>
  <si>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</si>
  <si>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</si>
  <si>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</si>
  <si>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</si>
  <si>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</si>
  <si>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</si>
  <si>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</si>
  <si>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</si>
  <si>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</si>
  <si>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</si>
  <si>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</si>
  <si>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</si>
  <si>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</si>
  <si>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</si>
  <si>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</si>
  <si>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</si>
  <si>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</si>
  <si>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</si>
  <si>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</si>
  <si>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</si>
  <si>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</si>
  <si>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</si>
  <si>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</si>
  <si>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</si>
  <si>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</si>
  <si>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</si>
  <si>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</si>
  <si>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</si>
  <si>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</si>
  <si>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</si>
  <si>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</si>
  <si>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</si>
  <si>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</si>
  <si>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</si>
  <si>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</si>
  <si>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</si>
  <si>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</si>
  <si>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</si>
  <si>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</si>
  <si>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</si>
  <si>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</si>
  <si>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</si>
  <si>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</si>
  <si>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</si>
  <si>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</si>
  <si>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</si>
  <si>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</si>
  <si>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</si>
  <si>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</si>
  <si>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</si>
  <si>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</si>
  <si>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</si>
  <si>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</si>
  <si>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</si>
  <si>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</si>
  <si>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</si>
  <si>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</si>
  <si>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</si>
  <si>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</si>
  <si>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</si>
  <si>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</si>
  <si>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</si>
  <si>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</si>
  <si>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</si>
  <si>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</si>
  <si>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</si>
  <si>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</si>
  <si>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</si>
  <si>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</si>
  <si>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</si>
  <si>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</si>
  <si>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</si>
  <si>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</si>
  <si>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</si>
  <si>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</si>
  <si>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</si>
  <si>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</si>
  <si>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</si>
  <si>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</si>
  <si>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</si>
  <si>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</si>
  <si>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</si>
  <si>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</si>
  <si>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</si>
  <si>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</si>
  <si>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</si>
  <si>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</si>
  <si>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</si>
  <si>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</si>
  <si>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</si>
  <si>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</si>
  <si>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</si>
  <si>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</si>
  <si>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</si>
  <si>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</si>
  <si>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</si>
  <si>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</si>
  <si>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</si>
  <si>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</si>
  <si>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</si>
  <si>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</si>
  <si>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</si>
  <si>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</si>
  <si>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</si>
  <si>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</si>
  <si>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</si>
  <si>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</si>
  <si>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</si>
  <si>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</si>
  <si>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</si>
  <si>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</si>
  <si>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</si>
  <si>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</si>
  <si>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</si>
  <si>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</si>
  <si>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</si>
  <si>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</si>
  <si>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</si>
  <si>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</si>
  <si>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</si>
  <si>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</si>
  <si>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</si>
  <si>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</si>
  <si>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</si>
  <si>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</si>
  <si>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</si>
  <si>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</si>
  <si>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</si>
  <si>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</si>
  <si>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</si>
  <si>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</si>
  <si>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</si>
  <si>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</si>
  <si>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</si>
  <si>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</si>
  <si>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</si>
  <si>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</si>
  <si>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</si>
  <si>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</si>
  <si>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</si>
  <si>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</si>
  <si>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</si>
  <si>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</si>
  <si>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</si>
  <si>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</si>
  <si>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</si>
  <si>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</si>
  <si>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</si>
  <si>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</si>
  <si>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</si>
  <si>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</si>
  <si>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</si>
  <si>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</si>
  <si>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</si>
  <si>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</si>
  <si>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</si>
  <si>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</si>
  <si>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</si>
  <si>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</si>
  <si>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</si>
  <si>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</si>
  <si>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</si>
  <si>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</si>
  <si>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</si>
  <si>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</si>
  <si>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</si>
  <si>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</si>
  <si>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</si>
  <si>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</si>
  <si>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</si>
  <si>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</si>
  <si>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</si>
  <si>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</si>
  <si>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</si>
  <si>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</si>
  <si>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</si>
  <si>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</si>
  <si>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</si>
  <si>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</si>
  <si>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</si>
  <si>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</si>
  <si>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</si>
  <si>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</si>
  <si>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</si>
  <si>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</si>
  <si>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</si>
  <si>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</si>
  <si>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</si>
  <si>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</si>
  <si>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</si>
  <si>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</si>
  <si>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</si>
  <si>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</si>
  <si>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</si>
  <si>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</si>
  <si>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</si>
  <si>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</si>
  <si>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</si>
  <si>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</si>
  <si>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</si>
  <si>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</si>
  <si>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</si>
  <si>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</si>
  <si>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</si>
  <si>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</si>
  <si>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</si>
  <si>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</si>
  <si>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</si>
  <si>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</si>
  <si>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</si>
  <si>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</si>
  <si>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</si>
  <si>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</si>
  <si>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</si>
  <si>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</si>
  <si>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</si>
  <si>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</si>
  <si>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</si>
  <si>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</si>
  <si>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</si>
  <si>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</si>
  <si>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</si>
  <si>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</si>
  <si>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</si>
  <si>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</si>
  <si>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</si>
  <si>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</si>
  <si>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</si>
  <si>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</si>
  <si>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</si>
  <si>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</si>
  <si>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</si>
  <si>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</si>
  <si>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</si>
  <si>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</si>
  <si>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</si>
  <si>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</si>
  <si>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</si>
  <si>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</si>
  <si>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</si>
  <si>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</si>
  <si>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</si>
  <si>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</si>
  <si>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</si>
  <si>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</si>
  <si>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</si>
  <si>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</si>
  <si>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</si>
  <si>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</si>
  <si>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</si>
  <si>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</si>
  <si>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</si>
  <si>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</si>
  <si>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</si>
  <si>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</si>
  <si>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</si>
  <si>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</si>
  <si>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</si>
  <si>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</si>
  <si>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</si>
  <si>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</si>
  <si>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</si>
  <si>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</si>
  <si>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</si>
  <si>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</si>
  <si>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</si>
  <si>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</si>
  <si>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</si>
  <si>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</si>
  <si>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</si>
  <si>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</si>
  <si>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</si>
  <si>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</si>
  <si>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</si>
  <si>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</si>
  <si>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</si>
  <si>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</si>
  <si>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</si>
  <si>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</si>
  <si>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</si>
  <si>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</si>
  <si>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</si>
  <si>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</si>
  <si>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</si>
  <si>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</si>
  <si>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</si>
  <si>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</si>
  <si>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</si>
  <si>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</si>
  <si>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</si>
  <si>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</si>
  <si>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</si>
  <si>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</si>
  <si>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</si>
  <si>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</si>
  <si>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</si>
  <si>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</si>
  <si>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</si>
  <si>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</si>
  <si>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</si>
  <si>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</si>
  <si>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</si>
  <si>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</si>
  <si>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</si>
  <si>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</si>
  <si>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</si>
  <si>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</si>
  <si>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</si>
  <si>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</si>
  <si>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</si>
  <si>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</si>
  <si>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</si>
  <si>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</si>
  <si>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</si>
  <si>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</si>
  <si>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</si>
  <si>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</si>
  <si>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</si>
  <si>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</si>
  <si>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</si>
  <si>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</si>
  <si>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</si>
  <si>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</si>
  <si>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</si>
  <si>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</si>
  <si>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</si>
  <si>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</si>
  <si>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</si>
  <si>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</si>
  <si>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</si>
  <si>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</si>
  <si>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</si>
  <si>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</si>
  <si>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</si>
  <si>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</si>
  <si>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</si>
  <si>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</si>
  <si>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</si>
  <si>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</si>
  <si>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</si>
  <si>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</si>
  <si>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</si>
  <si>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</si>
  <si>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</si>
  <si>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</si>
  <si>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</si>
  <si>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</si>
  <si>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</si>
  <si>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</si>
  <si>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</si>
  <si>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</si>
  <si>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</si>
  <si>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</si>
  <si>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</si>
  <si>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</si>
  <si>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</si>
  <si>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</si>
  <si>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</si>
  <si>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</si>
  <si>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</si>
  <si>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</si>
  <si>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</si>
  <si>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</si>
  <si>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</si>
  <si>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</si>
  <si>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</si>
  <si>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</si>
  <si>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</si>
  <si>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</si>
  <si>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</si>
  <si>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</si>
  <si>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</si>
  <si>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</si>
  <si>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</si>
  <si>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</si>
  <si>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</si>
  <si>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</si>
  <si>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</si>
  <si>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</si>
  <si>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</si>
  <si>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</si>
  <si>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</si>
  <si>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</si>
  <si>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</si>
  <si>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</si>
  <si>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</si>
  <si>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</si>
  <si>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</si>
  <si>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</si>
  <si>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</si>
  <si>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</si>
  <si>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</si>
  <si>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</si>
  <si>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</si>
  <si>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</si>
  <si>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</si>
  <si>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</si>
  <si>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</si>
  <si>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</si>
  <si>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</si>
  <si>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</si>
  <si>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</si>
  <si>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</si>
  <si>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</si>
  <si>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</si>
  <si>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</si>
  <si>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</si>
  <si>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</si>
  <si>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</si>
  <si>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</si>
  <si>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</si>
  <si>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</si>
  <si>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</si>
  <si>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</si>
  <si>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</si>
  <si>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</si>
  <si>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</si>
  <si>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</si>
  <si>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</si>
  <si>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</si>
  <si>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</si>
  <si>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</si>
  <si>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</si>
  <si>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</si>
  <si>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</si>
  <si>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</si>
  <si>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</si>
  <si>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</si>
  <si>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</si>
  <si>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</si>
  <si>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</si>
  <si>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</si>
  <si>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</si>
  <si>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</si>
  <si>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</si>
  <si>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</si>
  <si>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</si>
  <si>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</si>
  <si>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</si>
  <si>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</si>
  <si>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</si>
  <si>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</si>
  <si>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</si>
  <si>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</si>
  <si>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</si>
  <si>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</si>
  <si>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</si>
  <si>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</si>
  <si>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</si>
  <si>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</si>
  <si>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</si>
  <si>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</si>
  <si>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</si>
  <si>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</si>
  <si>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</si>
  <si>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</si>
  <si>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</si>
  <si>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</si>
  <si>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</si>
  <si>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</si>
  <si>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</si>
  <si>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</si>
  <si>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</si>
  <si>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</si>
  <si>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</si>
  <si>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</si>
  <si>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</si>
  <si>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</si>
  <si>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</si>
  <si>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</si>
  <si>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</si>
  <si>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</si>
  <si>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</si>
  <si>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</si>
  <si>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</si>
  <si>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</si>
  <si>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</si>
  <si>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</si>
  <si>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</si>
  <si>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</si>
  <si>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</si>
  <si>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</si>
  <si>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</si>
  <si>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</si>
  <si>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</si>
  <si>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</si>
  <si>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</si>
  <si>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</si>
  <si>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</si>
  <si>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</si>
  <si>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</si>
  <si>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</si>
  <si>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</si>
  <si>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</si>
  <si>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</si>
  <si>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</si>
  <si>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</si>
  <si>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</si>
  <si>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</si>
  <si>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</si>
  <si>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</si>
  <si>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</si>
  <si>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</si>
  <si>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</si>
  <si>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</si>
  <si>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</si>
  <si>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</si>
  <si>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</si>
  <si>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</si>
  <si>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</si>
  <si>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</si>
  <si>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</si>
  <si>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</si>
  <si>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</si>
  <si>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</si>
  <si>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</si>
  <si>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</si>
  <si>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</si>
  <si>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</si>
  <si>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</si>
  <si>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</si>
  <si>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</si>
  <si>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</si>
  <si>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</si>
  <si>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</si>
  <si>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</si>
  <si>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</si>
  <si>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</si>
  <si>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</si>
  <si>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</si>
  <si>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</si>
  <si>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</si>
  <si>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</si>
  <si>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</si>
  <si>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</si>
  <si>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</si>
  <si>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</si>
  <si>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</si>
  <si>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</si>
  <si>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</si>
  <si>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</si>
  <si>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</si>
  <si>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</si>
  <si>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</si>
  <si>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</si>
  <si>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</si>
  <si>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</si>
  <si>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</si>
  <si>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</si>
  <si>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</si>
  <si>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</si>
  <si>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</si>
  <si>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</si>
  <si>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</si>
  <si>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</si>
  <si>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</si>
  <si>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</si>
  <si>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</si>
  <si>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</si>
  <si>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</si>
  <si>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</si>
  <si>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</si>
  <si>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</si>
  <si>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</si>
  <si>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</si>
  <si>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</si>
  <si>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</si>
  <si>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</si>
  <si>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</si>
  <si>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</si>
  <si>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</si>
  <si>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</si>
  <si>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</si>
  <si>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</si>
  <si>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</si>
  <si>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</si>
  <si>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</si>
  <si>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</si>
  <si>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</si>
  <si>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</si>
  <si>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</si>
  <si>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</si>
  <si>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</si>
  <si>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</si>
  <si>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</si>
  <si>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</si>
  <si>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</si>
  <si>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</si>
  <si>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</si>
  <si>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</si>
  <si>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</si>
  <si>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</si>
  <si>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</si>
  <si>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</si>
  <si>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</si>
  <si>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</si>
  <si>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</si>
  <si>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</si>
  <si>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</si>
  <si>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</si>
  <si>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</si>
  <si>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</si>
  <si>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</si>
  <si>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</si>
  <si>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</si>
  <si>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</si>
  <si>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</si>
  <si>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</si>
  <si>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</si>
  <si>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</si>
  <si>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</si>
  <si>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</si>
  <si>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</si>
  <si>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</si>
  <si>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</si>
  <si>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</si>
  <si>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</si>
  <si>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</si>
  <si>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</si>
  <si>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</si>
  <si>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</si>
  <si>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</si>
  <si>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</si>
  <si>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</si>
  <si>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</si>
  <si>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</si>
  <si>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</si>
  <si>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</si>
  <si>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</si>
  <si>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</si>
  <si>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</si>
  <si>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</si>
  <si>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</si>
  <si>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</si>
  <si>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</si>
  <si>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</si>
  <si>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</si>
  <si>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</si>
  <si>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</si>
  <si>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</si>
  <si>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</si>
  <si>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</si>
  <si>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</si>
  <si>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</si>
  <si>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</si>
  <si>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</si>
  <si>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</si>
  <si>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</si>
  <si>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</si>
  <si>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</si>
  <si>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</si>
  <si>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</si>
  <si>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</si>
  <si>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</si>
  <si>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</si>
  <si>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</si>
  <si>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</si>
  <si>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</si>
  <si>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</si>
  <si>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</si>
  <si>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</si>
  <si>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</si>
  <si>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</si>
  <si>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</si>
  <si>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</si>
  <si>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</si>
  <si>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</si>
  <si>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</si>
  <si>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</si>
  <si>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</si>
  <si>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</si>
  <si>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</si>
  <si>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</si>
  <si>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</si>
  <si>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</si>
  <si>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</si>
  <si>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</si>
  <si>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</si>
  <si>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</si>
  <si>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</si>
  <si>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</si>
  <si>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</si>
  <si>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</si>
  <si>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</si>
  <si>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</si>
  <si>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</si>
  <si>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</si>
  <si>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</si>
  <si>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</si>
  <si>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</si>
  <si>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</si>
  <si>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</si>
  <si>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</si>
  <si>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</si>
  <si>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</si>
  <si>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</si>
  <si>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</si>
  <si>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</si>
  <si>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</si>
  <si>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</si>
  <si>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</si>
  <si>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</si>
  <si>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</si>
  <si>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</si>
  <si>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</si>
  <si>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</si>
  <si>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</si>
  <si>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</si>
  <si>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</si>
  <si>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</si>
  <si>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</si>
  <si>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</si>
  <si>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</si>
  <si>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</si>
  <si>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</si>
  <si>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</si>
  <si>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</si>
  <si>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</si>
  <si>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</si>
  <si>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</si>
  <si>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</si>
  <si>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</si>
  <si>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</si>
  <si>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</si>
  <si>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</si>
  <si>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</si>
  <si>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</si>
  <si>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</si>
  <si>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</si>
  <si>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</si>
  <si>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</si>
  <si>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</si>
  <si>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</si>
  <si>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</si>
  <si>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</si>
  <si>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</si>
  <si>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</si>
  <si>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</si>
  <si>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</si>
  <si>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</si>
  <si>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</si>
  <si>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</si>
  <si>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</si>
  <si>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</si>
  <si>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</si>
  <si>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</si>
  <si>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</si>
  <si>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</si>
  <si>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</si>
  <si>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</si>
  <si>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</si>
  <si>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</si>
  <si>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</si>
  <si>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</si>
  <si>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</si>
  <si>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</si>
  <si>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</si>
  <si>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</si>
  <si>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</si>
  <si>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</si>
  <si>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</si>
  <si>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</si>
  <si>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</si>
  <si>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</si>
  <si>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</si>
  <si>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</si>
  <si>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</si>
  <si>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</si>
  <si>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</si>
  <si>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</si>
  <si>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</si>
  <si>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</si>
  <si>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</si>
  <si>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</si>
  <si>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</si>
  <si>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</si>
  <si>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</si>
  <si>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</si>
  <si>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</si>
  <si>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</si>
  <si>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</si>
  <si>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</si>
  <si>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</si>
  <si>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</si>
  <si>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</si>
  <si>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</si>
  <si>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</si>
  <si>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</si>
  <si>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</si>
  <si>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</si>
  <si>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</si>
  <si>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</si>
  <si>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</si>
  <si>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</si>
  <si>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</si>
  <si>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</si>
  <si>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</si>
  <si>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</si>
  <si>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</si>
  <si>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</si>
  <si>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</si>
  <si>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</si>
  <si>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</si>
  <si>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</si>
  <si>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</si>
  <si>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</si>
  <si>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</si>
  <si>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</si>
  <si>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</si>
  <si>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</si>
  <si>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</si>
  <si>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</si>
  <si>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</si>
  <si>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</si>
  <si>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</si>
  <si>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</si>
  <si>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</si>
  <si>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</si>
  <si>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</si>
  <si>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</si>
  <si>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</si>
  <si>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</si>
  <si>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</si>
  <si>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</si>
  <si>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</si>
  <si>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</si>
  <si>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</si>
  <si>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</si>
  <si>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</si>
  <si>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</si>
  <si>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</si>
  <si>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</si>
  <si>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</si>
  <si>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</si>
  <si>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</si>
  <si>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</si>
  <si>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</si>
  <si>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</si>
  <si>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</si>
  <si>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</si>
  <si>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</si>
  <si>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</si>
  <si>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</si>
  <si>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</si>
  <si>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</si>
  <si>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</si>
  <si>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</si>
  <si>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</si>
  <si>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</si>
  <si>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</si>
  <si>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</si>
  <si>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</si>
  <si>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</si>
  <si>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</si>
  <si>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</si>
  <si>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</si>
  <si>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</si>
  <si>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</si>
  <si>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</si>
  <si>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</si>
  <si>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</si>
  <si>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</si>
  <si>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</si>
  <si>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</si>
  <si>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</si>
  <si>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</si>
  <si>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</si>
  <si>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</si>
  <si>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</si>
  <si>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</si>
  <si>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</si>
  <si>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</si>
  <si>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</si>
  <si>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</si>
  <si>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</si>
  <si>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</si>
  <si>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</si>
  <si>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</si>
  <si>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</si>
  <si>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</si>
  <si>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</si>
  <si>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</si>
  <si>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</si>
  <si>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</si>
  <si>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</si>
  <si>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</si>
  <si>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</si>
  <si>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</si>
  <si>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</si>
  <si>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</si>
  <si>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</si>
  <si>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</si>
  <si>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</si>
  <si>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</si>
  <si>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</si>
  <si>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</si>
  <si>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</si>
  <si>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</si>
  <si>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</si>
  <si>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</si>
  <si>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</si>
  <si>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</si>
  <si>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</si>
  <si>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</si>
  <si>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</si>
  <si>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</si>
  <si>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</si>
  <si>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</si>
  <si>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</si>
  <si>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</si>
  <si>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</si>
  <si>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</si>
  <si>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</si>
  <si>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</si>
  <si>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</si>
  <si>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</si>
  <si>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</si>
  <si>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</si>
  <si>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</si>
  <si>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</si>
  <si>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</si>
  <si>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</si>
  <si>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</si>
  <si>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</si>
  <si>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</si>
  <si>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</si>
  <si>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</si>
  <si>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</si>
  <si>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</si>
  <si>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</si>
  <si>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</si>
  <si>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</si>
  <si>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</si>
  <si>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</si>
  <si>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</si>
  <si>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</si>
  <si>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</si>
  <si>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</si>
  <si>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</si>
  <si>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</si>
  <si>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</si>
  <si>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</si>
  <si>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</si>
  <si>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</si>
  <si>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</si>
  <si>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</si>
  <si>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</si>
  <si>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</si>
  <si>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</si>
  <si>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</si>
  <si>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</si>
  <si>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</si>
  <si>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</si>
  <si>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</si>
  <si>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</si>
  <si>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</si>
  <si>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</si>
  <si>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</si>
  <si>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</si>
  <si>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</si>
  <si>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</si>
  <si>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</si>
  <si>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</si>
  <si>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</si>
  <si>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</si>
  <si>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</si>
  <si>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</si>
  <si>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</si>
  <si>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</si>
  <si>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</si>
  <si>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</si>
  <si>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</si>
  <si>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</si>
  <si>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</si>
  <si>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</si>
  <si>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</si>
  <si>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</si>
  <si>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</si>
  <si>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</si>
  <si>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</si>
  <si>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</si>
  <si>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</si>
  <si>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</si>
  <si>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</si>
  <si>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</si>
  <si>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</si>
  <si>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</si>
  <si>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</si>
  <si>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</si>
  <si>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</si>
  <si>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</si>
  <si>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stringent</t>
  </si>
  <si>
    <t>stringently</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</si>
  <si>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</si>
  <si>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</si>
  <si>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</si>
  <si>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</si>
  <si>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</si>
  <si>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</si>
  <si>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</si>
  <si>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</si>
  <si>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</si>
  <si>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</si>
  <si>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</si>
  <si>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</si>
  <si>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</si>
  <si>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</si>
  <si>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</si>
  <si>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</si>
  <si>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</si>
  <si>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</si>
  <si>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</si>
  <si>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</si>
  <si>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</si>
  <si>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</si>
  <si>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</si>
  <si>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</si>
  <si>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</si>
  <si>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</si>
  <si>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</si>
  <si>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</si>
  <si>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</si>
  <si>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</si>
  <si>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</si>
  <si>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</si>
  <si>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</si>
  <si>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</si>
  <si>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</si>
  <si>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</si>
  <si>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</si>
  <si>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</si>
  <si>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</si>
  <si>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</si>
  <si>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</si>
  <si>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</si>
  <si>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</si>
  <si>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</si>
  <si>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</si>
  <si>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</si>
  <si>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</si>
  <si>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</si>
  <si>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</si>
  <si>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</si>
  <si>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</si>
  <si>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</si>
  <si>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</si>
  <si>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</si>
  <si>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</si>
  <si>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</si>
  <si>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</si>
  <si>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</si>
  <si>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</si>
  <si>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</si>
  <si>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</si>
  <si>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</si>
  <si>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</si>
  <si>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</si>
  <si>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</si>
  <si>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</si>
  <si>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</si>
  <si>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</si>
  <si>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</si>
  <si>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</si>
  <si>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</si>
  <si>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</si>
  <si>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</si>
  <si>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</si>
  <si>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</si>
  <si>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</si>
  <si>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</si>
  <si>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</si>
  <si>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</si>
  <si>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</si>
  <si>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</si>
  <si>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</si>
  <si>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</si>
  <si>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</si>
  <si>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</si>
  <si>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</si>
  <si>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</si>
  <si>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</si>
  <si>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</si>
  <si>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</si>
  <si>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</si>
  <si>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</si>
  <si>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</si>
  <si>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</si>
  <si>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</si>
  <si>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</si>
  <si>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</si>
  <si>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</si>
  <si>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</si>
  <si>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</si>
  <si>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</si>
  <si>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</si>
  <si>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</si>
  <si>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</si>
  <si>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</si>
  <si>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</si>
  <si>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</si>
  <si>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</si>
  <si>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</si>
  <si>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</si>
  <si>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</si>
  <si>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</si>
  <si>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</si>
  <si>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</si>
  <si>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</si>
  <si>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</si>
  <si>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</si>
  <si>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</si>
  <si>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</si>
  <si>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</si>
  <si>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</si>
  <si>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</si>
  <si>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</si>
  <si>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</si>
  <si>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</si>
  <si>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</si>
  <si>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</si>
  <si>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</si>
  <si>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</si>
  <si>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</si>
  <si>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</si>
  <si>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</si>
  <si>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</si>
  <si>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</si>
  <si>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</si>
  <si>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</si>
  <si>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</si>
  <si>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</si>
  <si>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</si>
  <si>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</si>
  <si>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</si>
  <si>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</si>
  <si>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</si>
  <si>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</si>
  <si>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</si>
  <si>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</si>
  <si>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</si>
  <si>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</si>
  <si>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</si>
  <si>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</si>
  <si>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</si>
  <si>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</si>
  <si>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</si>
  <si>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</si>
  <si>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</si>
  <si>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</si>
  <si>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</si>
  <si>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</si>
  <si>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</si>
  <si>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</si>
  <si>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</si>
  <si>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</si>
  <si>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</si>
  <si>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</si>
  <si>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</si>
  <si>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</si>
  <si>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</si>
  <si>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</si>
  <si>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</si>
  <si>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</si>
  <si>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</si>
  <si>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</si>
  <si>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</si>
  <si>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</si>
  <si>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</si>
  <si>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</si>
  <si>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</si>
  <si>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</si>
  <si>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</si>
  <si>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</si>
  <si>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</si>
  <si>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</si>
  <si>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</si>
  <si>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</si>
  <si>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</si>
  <si>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</si>
  <si>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</si>
  <si>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</si>
  <si>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</si>
  <si>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</si>
  <si>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</si>
  <si>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</si>
  <si>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</si>
  <si>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</si>
  <si>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</si>
  <si>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</si>
  <si>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</si>
  <si>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</si>
  <si>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</si>
  <si>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</si>
  <si>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</si>
  <si>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</si>
  <si>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</si>
  <si>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</si>
  <si>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</si>
  <si>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</si>
  <si>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</si>
  <si>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</si>
  <si>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</si>
  <si>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</si>
  <si>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</si>
  <si>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</si>
  <si>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</si>
  <si>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</si>
  <si>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</si>
  <si>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</si>
  <si>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</si>
  <si>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</si>
  <si>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</si>
  <si>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</si>
  <si>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</si>
  <si>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</si>
  <si>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</si>
  <si>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</si>
  <si>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</si>
  <si>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</si>
  <si>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</si>
  <si>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</si>
  <si>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</si>
  <si>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</si>
  <si>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</si>
  <si>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</si>
  <si>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</si>
  <si>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</si>
  <si>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</si>
  <si>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</si>
  <si>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</si>
  <si>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</si>
  <si>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</si>
  <si>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</si>
  <si>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</si>
  <si>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</si>
  <si>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</si>
  <si>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</si>
  <si>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</si>
  <si>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</si>
  <si>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</si>
  <si>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</si>
  <si>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</si>
  <si>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</si>
  <si>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</si>
  <si>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</si>
  <si>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</si>
  <si>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</si>
  <si>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</si>
  <si>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</si>
  <si>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</si>
  <si>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</si>
  <si>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</si>
  <si>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</si>
  <si>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</si>
  <si>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</si>
  <si>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</si>
  <si>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</si>
  <si>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</si>
  <si>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</si>
  <si>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</si>
  <si>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</si>
  <si>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</si>
  <si>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</si>
  <si>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</si>
  <si>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</si>
  <si>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</si>
  <si>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</si>
  <si>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</si>
  <si>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</si>
  <si>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</si>
  <si>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</si>
  <si>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</si>
  <si>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</si>
  <si>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</si>
  <si>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</si>
  <si>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</si>
  <si>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</si>
  <si>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</si>
  <si>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</si>
  <si>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</si>
  <si>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</si>
  <si>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</si>
  <si>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</si>
  <si>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</si>
  <si>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</si>
  <si>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</si>
  <si>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</si>
  <si>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</si>
  <si>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</si>
  <si>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</si>
  <si>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</si>
  <si>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</si>
  <si>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</si>
  <si>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</si>
  <si>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</si>
  <si>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</si>
  <si>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</si>
  <si>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</si>
  <si>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</si>
  <si>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</si>
  <si>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</si>
  <si>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</si>
  <si>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</si>
  <si>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</si>
  <si>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</si>
  <si>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</si>
  <si>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</si>
  <si>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</si>
  <si>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</si>
  <si>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</si>
  <si>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</si>
  <si>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</si>
  <si>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</si>
  <si>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</si>
  <si>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</si>
  <si>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</si>
  <si>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</si>
  <si>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</si>
  <si>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</si>
  <si>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</si>
  <si>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</si>
  <si>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</si>
  <si>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</si>
  <si>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</si>
  <si>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</si>
  <si>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</si>
  <si>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</si>
  <si>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</si>
  <si>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</si>
  <si>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</si>
  <si>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</si>
  <si>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</si>
  <si>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</si>
  <si>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</si>
  <si>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</si>
  <si>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</si>
  <si>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</si>
  <si>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</si>
  <si>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</si>
  <si>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</si>
  <si>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</si>
  <si>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</si>
  <si>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</si>
  <si>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</si>
  <si>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</si>
  <si>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</si>
  <si>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</si>
  <si>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</si>
  <si>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</si>
  <si>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</si>
  <si>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</si>
  <si>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</si>
  <si>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</si>
  <si>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</si>
  <si>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</si>
  <si>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</si>
  <si>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</si>
  <si>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</si>
  <si>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</si>
  <si>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</si>
  <si>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</si>
  <si>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</si>
  <si>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</si>
  <si>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</si>
  <si>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</si>
  <si>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</si>
  <si>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</si>
  <si>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</si>
  <si>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</si>
  <si>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</si>
  <si>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</si>
  <si>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</si>
  <si>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</si>
  <si>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</si>
  <si>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</si>
  <si>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</si>
  <si>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</si>
  <si>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</si>
  <si>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</si>
  <si>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</si>
  <si>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</si>
  <si>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</si>
  <si>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</si>
  <si>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</si>
  <si>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</si>
  <si>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</si>
  <si>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</si>
  <si>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</si>
  <si>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</si>
  <si>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</si>
  <si>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</si>
  <si>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</si>
  <si>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</si>
  <si>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</si>
  <si>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</si>
  <si>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</si>
  <si>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</si>
  <si>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</si>
  <si>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</si>
  <si>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</si>
  <si>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</si>
  <si>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</si>
  <si>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</si>
  <si>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</si>
  <si>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</si>
  <si>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</si>
  <si>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</si>
  <si>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</si>
  <si>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</si>
  <si>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</si>
  <si>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</si>
  <si>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</si>
  <si>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</si>
  <si>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</si>
  <si>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</si>
  <si>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</si>
  <si>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</si>
  <si>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</si>
  <si>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</si>
  <si>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</si>
  <si>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</si>
  <si>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</si>
  <si>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</si>
  <si>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</si>
  <si>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</si>
  <si>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</si>
  <si>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</si>
  <si>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</si>
  <si>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</si>
  <si>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</si>
  <si>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</si>
  <si>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</si>
  <si>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</si>
  <si>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</si>
  <si>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</si>
  <si>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</si>
  <si>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</si>
  <si>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</si>
  <si>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</si>
  <si>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</si>
  <si>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</si>
  <si>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</si>
  <si>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</si>
  <si>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</si>
  <si>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</si>
  <si>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</si>
  <si>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</si>
  <si>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</si>
  <si>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</si>
  <si>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</si>
  <si>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</si>
  <si>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</si>
  <si>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</si>
  <si>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</si>
  <si>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</si>
  <si>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</si>
  <si>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</si>
  <si>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</si>
  <si>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</si>
  <si>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</si>
  <si>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</si>
  <si>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</si>
  <si>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</si>
  <si>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</si>
  <si>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</si>
  <si>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</si>
  <si>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</si>
  <si>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</si>
  <si>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</si>
  <si>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</si>
  <si>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</si>
  <si>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</si>
  <si>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</si>
  <si>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</si>
  <si>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</si>
  <si>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</si>
  <si>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</si>
  <si>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</si>
  <si>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</si>
  <si>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</si>
  <si>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</si>
  <si>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</si>
  <si>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</si>
  <si>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</si>
  <si>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</si>
  <si>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</si>
  <si>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</si>
  <si>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</si>
  <si>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</si>
  <si>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</si>
  <si>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</si>
  <si>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</si>
  <si>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</si>
  <si>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</si>
  <si>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</si>
  <si>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</si>
  <si>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</si>
  <si>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</si>
  <si>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</si>
  <si>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</si>
  <si>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</si>
  <si>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</si>
  <si>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</si>
  <si>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</si>
  <si>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</si>
  <si>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</si>
  <si>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</si>
  <si>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</si>
  <si>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</si>
  <si>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</si>
  <si>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</si>
  <si>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</si>
  <si>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</si>
  <si>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</si>
  <si>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</si>
  <si>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</si>
  <si>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</si>
  <si>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</si>
  <si>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</si>
  <si>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</si>
  <si>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</si>
  <si>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</si>
  <si>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</si>
  <si>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</si>
  <si>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</si>
  <si>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</si>
  <si>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</si>
  <si>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</si>
  <si>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</si>
  <si>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</si>
  <si>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</si>
  <si>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</si>
  <si>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</si>
  <si>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</si>
  <si>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</si>
  <si>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</si>
  <si>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</si>
  <si>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</si>
  <si>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</si>
  <si>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</si>
  <si>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</si>
  <si>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</si>
  <si>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</si>
  <si>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</si>
  <si>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</si>
  <si>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</si>
  <si>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</si>
  <si>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</si>
  <si>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</si>
  <si>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</si>
  <si>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</si>
  <si>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</si>
  <si>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</si>
  <si>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</si>
  <si>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</si>
  <si>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</si>
  <si>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</si>
  <si>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</si>
  <si>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</si>
  <si>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</si>
  <si>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</si>
  <si>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</si>
  <si>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</si>
  <si>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</si>
  <si>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</si>
  <si>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</si>
  <si>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</si>
  <si>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</si>
  <si>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</si>
  <si>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</si>
  <si>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</si>
  <si>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</si>
  <si>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</si>
  <si>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</si>
  <si>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</si>
  <si>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</si>
  <si>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</si>
  <si>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</si>
  <si>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</si>
  <si>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</si>
  <si>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</si>
  <si>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</si>
  <si>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</si>
  <si>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</si>
  <si>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</si>
  <si>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</si>
  <si>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</si>
  <si>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</si>
  <si>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</si>
  <si>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</si>
  <si>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</si>
  <si>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</si>
  <si>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</si>
  <si>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</si>
  <si>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</si>
  <si>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</si>
  <si>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</si>
  <si>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</si>
  <si>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</si>
  <si>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</si>
  <si>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</si>
  <si>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</si>
  <si>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</si>
  <si>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</si>
  <si>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</si>
  <si>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</si>
  <si>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</si>
  <si>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</si>
  <si>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</si>
  <si>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</si>
  <si>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</si>
  <si>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</si>
  <si>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</si>
  <si>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</si>
  <si>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</si>
  <si>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</si>
  <si>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</si>
  <si>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</si>
  <si>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</si>
  <si>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</si>
  <si>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</si>
  <si>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</si>
  <si>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</si>
  <si>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</si>
  <si>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</si>
  <si>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</si>
  <si>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</si>
  <si>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</si>
  <si>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</si>
  <si>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</si>
  <si>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</si>
  <si>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</si>
  <si>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</si>
  <si>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</si>
  <si>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</si>
  <si>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</si>
  <si>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</si>
  <si>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</si>
  <si>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</si>
  <si>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</si>
  <si>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</si>
  <si>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</si>
  <si>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</si>
  <si>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</si>
  <si>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</si>
  <si>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</si>
  <si>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</si>
  <si>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</si>
  <si>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</si>
  <si>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</si>
  <si>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</si>
  <si>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</si>
  <si>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</si>
  <si>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</si>
  <si>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</si>
  <si>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</si>
  <si>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</si>
  <si>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</si>
  <si>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</si>
  <si>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</si>
  <si>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</si>
  <si>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</si>
  <si>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</si>
  <si>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</si>
  <si>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</si>
  <si>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</si>
  <si>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</si>
  <si>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</si>
  <si>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</si>
  <si>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</si>
  <si>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</si>
  <si>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</si>
  <si>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</si>
  <si>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</si>
  <si>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</si>
  <si>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</si>
  <si>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</si>
  <si>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</si>
  <si>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</si>
  <si>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</si>
  <si>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</si>
  <si>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</si>
  <si>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</si>
  <si>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</si>
  <si>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</si>
  <si>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</si>
  <si>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</si>
  <si>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</si>
  <si>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</si>
  <si>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</si>
  <si>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</si>
  <si>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</si>
  <si>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</si>
  <si>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</si>
  <si>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</si>
  <si>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</si>
  <si>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</si>
  <si>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</si>
  <si>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</si>
  <si>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</si>
  <si>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</si>
  <si>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</si>
  <si>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</si>
  <si>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</si>
  <si>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</si>
  <si>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</si>
  <si>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toll geocode:45.30514,-122.40036,50mi</t>
  </si>
  <si>
    <t>The graph represents a network of 218 Twitter users whose recent tweets contained "toll geocode:45.30514,-122.40036,50mi", or who were replied to, mentioned, retweeted or quoted in those tweets, taken from a data set limited to a maximum of 30,000 tweets, tweeted between 1/1/2023 12:00:00 AM and 1/29/2024 5:26:12 PM.  The network was obtained from Twitter on Tuesday, 30 January 2024 at 01:26 UTC.
The tweets in the network were tweeted over the 391-day, 17-hour, 37-minute period from Monday, 02 January 2023 at 23:48 UTC to Monday, 29 January 2024 at 17:26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</si>
  <si>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</si>
  <si>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</si>
  <si>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</si>
  <si>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</si>
  <si>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</si>
  <si>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</si>
  <si>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</si>
  <si>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</si>
  <si>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</si>
  <si>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</si>
  <si>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</si>
  <si>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</si>
  <si>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</si>
  <si>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</si>
  <si>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</si>
  <si>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https://www.washingtonpost.com/world/2023/11/06/israel-hamas-war-gaza-news-palestine/</t>
  </si>
  <si>
    <t>https://www.kptv.com/2024/01/21/palestinian-death-toll-soars-past-25000-gaza-with-no-end-sight-israel-hamas-war/</t>
  </si>
  <si>
    <t>https://www.washingtonpost.com/world/2023/02/09/turkey-syria-earthquake-death-count-updates/</t>
  </si>
  <si>
    <t>https://www.oregonlive.com/nation/2024/01/palestinian-death-toll-in-gaza-surpasses-25000-while-israel-announces-death-of-another-hostage.html?utm_campaign=theoregonian_sf&amp;utm_medium=social&amp;utm_source=twitter</t>
  </si>
  <si>
    <t>https://www.bizjournals.com/portland/news/2024/01/26/oregon-wine-beer-taxes-econorthwest-report.html?csrc=6398&amp;taid=65b432701d333000011856f3&amp;utm_campaign=trueAnthemTrendingContent&amp;utm_medium=trueAnthem&amp;utm_source=twitter</t>
  </si>
  <si>
    <t>https://www.bizjournals.com/portland/news/2024/01/26/oregon-wine-beer-taxes-econorthwest-report.html?csrc=6398&amp;taid=65b49bf74d231b00014dcf3c&amp;utm_campaign=trueAnthemTrendingContent&amp;utm_medium=trueAnthem&amp;utm_source=twitter</t>
  </si>
  <si>
    <t>https://www.bizjournals.com/portland/news/2024/01/26/oregon-wine-beer-taxes-econorthwest-report.html?csrc=6398&amp;taid=65b560d14d231b00014de742&amp;utm_campaign=trueAnthemTrendingContent&amp;utm_medium=trueAnthem&amp;utm_source=twitter</t>
  </si>
  <si>
    <t>https://www.sec.gov/news/press-release/2022-97</t>
  </si>
  <si>
    <t>https://www.voanews.com/a/gaza-death-toll-climbs-above-26-000-health-ministry-reports/7458258.html</t>
  </si>
  <si>
    <t>https://www.nytimes.com/interactive/2021/08/11/climate/deaths-pacific-northwest-heat-wave.html?smid=nytcore-android-share</t>
  </si>
  <si>
    <t>Entire Graph Count</t>
  </si>
  <si>
    <t>Top URLs in Tweet in G1</t>
  </si>
  <si>
    <t>https://www.youtube.com/watch?v=oVWDz6HzozI</t>
  </si>
  <si>
    <t>https://apnews.com/article/israel-hamas-war-news-01-21-2024-02caafa092668ecc7ff122229c166807</t>
  </si>
  <si>
    <t>https://www.thestreet.com/crypto/markets/sec-approves-first-ever-spot-bitcoin-etfs</t>
  </si>
  <si>
    <t>http://dlvr.it/T1nZyd</t>
  </si>
  <si>
    <t>https://www.gcsaa.org/resources/regional-resources/northwest/northwest-blog/2023/11/21/creating-an-emotional-support-network</t>
  </si>
  <si>
    <t>https://www.nytimes.com/2023/03/08/us/san-bernardino-snow-storm-deaths.html</t>
  </si>
  <si>
    <t>https://wapo.st/45mSV1C</t>
  </si>
  <si>
    <t>https://www.kgw.com/article/news/nation-world/israel-hamas-conflict/israel-hamas-war-palestinian-death-toll-in-gaza/507-b5580c00-947b-4cdf-bc5a-f1a42ba9377a?utm_campaign=snd-autopilot</t>
  </si>
  <si>
    <t>Top URLs in Tweet in G2</t>
  </si>
  <si>
    <t>G1 Count</t>
  </si>
  <si>
    <t>https://bit.ly/3SbbYbm</t>
  </si>
  <si>
    <t>Top URLs in Tweet in G3</t>
  </si>
  <si>
    <t>G2 Count</t>
  </si>
  <si>
    <t>https://www.kgw.com/article/news/local/interstate-bridge-replacement-first-federal-funding/283-ee7735d4-4c90-4f7c-92d7-55069cb98bca</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</si>
  <si>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</si>
  <si>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</si>
  <si>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</si>
  <si>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</si>
  <si>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</si>
  <si>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</si>
  <si>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</si>
  <si>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</si>
  <si>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</si>
  <si>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</si>
  <si>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</si>
  <si>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</si>
  <si>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</si>
  <si>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</si>
  <si>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</si>
  <si>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</si>
  <si>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https://www.washingtonpost.com/world/2023/11/06/israel-hamas-war-gaza-news-palestine/ https://www.youtube.com/watch?v=oVWDz6HzozI https://apnews.com/article/israel-hamas-war-news-01-21-2024-02caafa092668ecc7ff122229c166807 https://www.thestreet.com/crypto/markets/sec-approves-first-ever-spot-bitcoin-etfs http://dlvr.it/T1nZyd https://www.gcsaa.org/resources/regional-resources/northwest/northwest-blog/2023/11/21/creating-an-emotional-support-network https://www.nytimes.com/2023/03/08/us/san-bernardino-snow-storm-deaths.html https://wapo.st/45mSV1C https://www.kgw.com/article/news/nation-world/israel-hamas-conflict/israel-hamas-war-palestinian-death-toll-in-gaza/507-b5580c00-947b-4cdf-bc5a-f1a42ba9377a?utm_campaign=snd-autopilot https://www.nytimes.com/interactive/2021/08/11/climate/deaths-pacific-northwest-heat-wave.html?smid=nytcore-android-share</t>
  </si>
  <si>
    <t>https://www.sec.gov/news/press-release/2022-97 https://bit.ly/3SbbYbm</t>
  </si>
  <si>
    <t>http://www.votebeforetolls.org</t>
  </si>
  <si>
    <t>https://www.cnbc.com/2019/10/10/trump-defends-allowing-turkish-offensive-on-kurds-in-syria-they-didnt-help-us-in-ww2.html</t>
  </si>
  <si>
    <t>https://www.businessinsider.com/jane-roberts-chief-justice-wife-10-million-commissions-2023-4</t>
  </si>
  <si>
    <t>https://buff.ly/3lkMiLz</t>
  </si>
  <si>
    <t>http://spr.ly/6014rxXTi</t>
  </si>
  <si>
    <t>https://nypost.com/2024/01/23/news/israel-says-24-troops-killed-in-gaza-fighting-highest-single-day-toll/?utm_source=twitter&amp;utm_medium=social&amp;utm_campaign=nypost_sitebuttons</t>
  </si>
  <si>
    <t>https://www.aljazeera.com/news/liveblog/2023/12/8/israel-hamas-war-live-palestinians-demand-end-to-israels-gaza-onslaught</t>
  </si>
  <si>
    <t>https://www.oregoncapitalinsider.com/news/oregon-insiders-whos-who-in-and-around-state-government/article_787328d4-bbde-11ee-b340-8b6c5845b41d.html?utm_medium=social&amp;utm_source=twitter&amp;utm_campaign=user-share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</si>
  <si>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</si>
  <si>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</si>
  <si>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</si>
  <si>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</si>
  <si>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</si>
  <si>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</si>
  <si>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</si>
  <si>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</si>
  <si>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</si>
  <si>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</si>
  <si>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</si>
  <si>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</si>
  <si>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washingtonpost.com bizjournals.com nytimes.com youtube.com apnews.com thestreet.com dlvr.it gcsaa.org wapo.st kgw.com</t>
  </si>
  <si>
    <t>sec.gov bit.ly</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</si>
  <si>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</si>
  <si>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</si>
  <si>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</si>
  <si>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</si>
  <si>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</si>
  <si>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</si>
  <si>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</si>
  <si>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</si>
  <si>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</si>
  <si>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</si>
  <si>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</si>
  <si>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</si>
  <si>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baonpdx realtor realtorlife realestate realestateagent exprealty mrexp grinding spoileralert bitcoin</t>
  </si>
  <si>
    <t>orpol orleg nomorefreeways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</si>
  <si>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</si>
  <si>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</si>
  <si>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</si>
  <si>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</si>
  <si>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</si>
  <si>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</si>
  <si>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</si>
  <si>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</si>
  <si>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</si>
  <si>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</si>
  <si>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</si>
  <si>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</si>
  <si>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toll death 000 gaza israel maui days relatively more 25</t>
  </si>
  <si>
    <t>toll money oregoncitizen_ tolling people made smithtootie oregondot drivers lecheconcoffee</t>
  </si>
  <si>
    <t>bridge toll oregonians people changer game jeffmerkley washington</t>
  </si>
  <si>
    <t>toll protect covid patients against 19 diseases visitors vaccine</t>
  </si>
  <si>
    <t>hurricane cut</t>
  </si>
  <si>
    <t>toll state signatures fix</t>
  </si>
  <si>
    <t>israel done</t>
  </si>
  <si>
    <t>communism toll</t>
  </si>
  <si>
    <t>mr well</t>
  </si>
  <si>
    <t>rise timeframe</t>
  </si>
  <si>
    <t>maine year death toll</t>
  </si>
  <si>
    <t>bay going east san bridge leaving toll lukeroth1015</t>
  </si>
  <si>
    <t>mileage sure</t>
  </si>
  <si>
    <t>mold home</t>
  </si>
  <si>
    <t>more roberts</t>
  </si>
  <si>
    <t>media palestinians</t>
  </si>
  <si>
    <t>really hate</t>
  </si>
  <si>
    <t>hamas both civilian hide</t>
  </si>
  <si>
    <t>today tornado vancouver deadliest hit</t>
  </si>
  <si>
    <t>solar wind growth hey</t>
  </si>
  <si>
    <t>death toll</t>
  </si>
  <si>
    <t>move work home studio</t>
  </si>
  <si>
    <t>games being toll</t>
  </si>
  <si>
    <t>took years</t>
  </si>
  <si>
    <t>Top Word Pairs in Tweet in Entire Graph</t>
  </si>
  <si>
    <t>death,toll</t>
  </si>
  <si>
    <t>take,toll</t>
  </si>
  <si>
    <t>takes,toll</t>
  </si>
  <si>
    <t>taking,toll</t>
  </si>
  <si>
    <t>toll,bridge</t>
  </si>
  <si>
    <t>25,000</t>
  </si>
  <si>
    <t>gaza,death</t>
  </si>
  <si>
    <t>palestinian,death</t>
  </si>
  <si>
    <t>surpasses,25</t>
  </si>
  <si>
    <t>toll,gaza</t>
  </si>
  <si>
    <t>Top Word Pairs in Tweet in G1</t>
  </si>
  <si>
    <t>gaza,surpasses</t>
  </si>
  <si>
    <t>couple,developments</t>
  </si>
  <si>
    <t>oregon's,relatively</t>
  </si>
  <si>
    <t>000,israel</t>
  </si>
  <si>
    <t>ratcheted,debate</t>
  </si>
  <si>
    <t>Top Word Pairs in Tweet in G2</t>
  </si>
  <si>
    <t>toll,money</t>
  </si>
  <si>
    <t>lecheconcoffee,smithtootie</t>
  </si>
  <si>
    <t>toll,roads</t>
  </si>
  <si>
    <t>smithtootie,oregoncitizen_</t>
  </si>
  <si>
    <t>Top Word Pairs in Tweet in G3</t>
  </si>
  <si>
    <t>people,washington</t>
  </si>
  <si>
    <t>changer,oregonians</t>
  </si>
  <si>
    <t>game,changer</t>
  </si>
  <si>
    <t>Top Word Pairs in Tweet in G4</t>
  </si>
  <si>
    <t>covid,19</t>
  </si>
  <si>
    <t>Top Word Pairs in Tweet in G5</t>
  </si>
  <si>
    <t>Top Word Pairs in Tweet in G6</t>
  </si>
  <si>
    <t>Top Word Pairs in Tweet in G7</t>
  </si>
  <si>
    <t>Top Word Pairs in Tweet in G8</t>
  </si>
  <si>
    <t>Top Word Pairs in Tweet in G9</t>
  </si>
  <si>
    <t>Top Word Pairs in Tweet in G10</t>
  </si>
  <si>
    <t>Top Word Pairs in Tweet</t>
  </si>
  <si>
    <t>death,toll  gaza,surpasses  surpasses,25  toll,gaza  25,000  couple,developments  oregon's,relatively  palestinian,death  000,israel  ratcheted,debate</t>
  </si>
  <si>
    <t>toll,money  lecheconcoffee,smithtootie  toll,roads  smithtootie,oregoncitizen_</t>
  </si>
  <si>
    <t>toll,bridge  people,washington  changer,oregonians  game,changer</t>
  </si>
  <si>
    <t>east,bay  going,san</t>
  </si>
  <si>
    <t>hate,really</t>
  </si>
  <si>
    <t>wind,solar</t>
  </si>
  <si>
    <t>work,home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</si>
  <si>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</si>
  <si>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</si>
  <si>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</si>
  <si>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</si>
  <si>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</si>
  <si>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</si>
  <si>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</si>
  <si>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</si>
  <si>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</si>
  <si>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</si>
  <si>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</si>
  <si>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</si>
  <si>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</si>
  <si>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</si>
  <si>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</si>
  <si>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</si>
  <si>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</si>
  <si>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</si>
  <si>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</si>
  <si>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</si>
  <si>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</si>
  <si>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</si>
  <si>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</si>
  <si>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oregoncitizen_ lecheconcoffee nomorefreeways benedtl</t>
  </si>
  <si>
    <t>mgpforcongress nicelynice4 repbonamici janninereid1</t>
  </si>
  <si>
    <t>kevinnbass mojocuba stkirsch</t>
  </si>
  <si>
    <t>lesnara2 nickroj80278654</t>
  </si>
  <si>
    <t>Top Mentioned in Tweet</t>
  </si>
  <si>
    <t>oregondot smithtootie oregoncitizen_ nomorefreeways</t>
  </si>
  <si>
    <t>senjeffmerkley jeffmerkley oregonsos repblumenauer seanhannity tuckercarlson usdot</t>
  </si>
  <si>
    <t>alexberenson moderna_tx robin_shattock</t>
  </si>
  <si>
    <t>blakjordanbreen babyesko3900 meechiejacobs trevor00988477</t>
  </si>
  <si>
    <t>okron8 aa_ronneous captcoronado bestwildclips</t>
  </si>
  <si>
    <t>madeintheusanj teamdesantis rondesantis</t>
  </si>
  <si>
    <t>tinselfire dwallacewells</t>
  </si>
  <si>
    <t>toll_mathew slavomiravac2 lens_tales</t>
  </si>
  <si>
    <t>tek_sauce mrs_socialista</t>
  </si>
  <si>
    <t>maxmad39388773 newworldanglo</t>
  </si>
  <si>
    <t>20minpromo deonteddj</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</si>
  <si>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</si>
  <si>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</si>
  <si>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</si>
  <si>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</si>
  <si>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</si>
  <si>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</si>
  <si>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</si>
  <si>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</si>
  <si>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</si>
  <si>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</si>
  <si>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</si>
  <si>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</si>
  <si>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kgwnews seattletimes oregonian breakingpdxnews minitruearchive smilinandy saylahachey nickfent herlihy_f wintheday848</t>
  </si>
  <si>
    <t>sfmission2 pdxblake oregoncitizen_ oregondot nomorefreeways tradedebater lecheconcoffee stumptowngrrl kavanah613 smithtootie</t>
  </si>
  <si>
    <t>janninereid1 hardlee73 seanhannity coachbalto senjeffmerkley repbonamici usdot oregonsos jeffmerkley repblumenauer</t>
  </si>
  <si>
    <t>alexberenson art_burke stkirsch kevinnbass mojocuba moderna_tx robin_shattock</t>
  </si>
  <si>
    <t>blakjordanbreen beautiful_str34 csmoove_sports meechiejacobs babyesko3900 trevor00988477</t>
  </si>
  <si>
    <t>okron8 kennedyk24 captcoronado aa_ronneous kibongerawlins bestwildclips</t>
  </si>
  <si>
    <t>madeintheusanj millieminet rondesantis khazeni teamdesantis</t>
  </si>
  <si>
    <t>dwallacewells cobraeconomics tinselfire zciwogor</t>
  </si>
  <si>
    <t>suhlabs slavomiravac2 fairleyphoto toll_mathew</t>
  </si>
  <si>
    <t>eclecticradical mrs_socialista tek_sauce jakeguyco</t>
  </si>
  <si>
    <t>2a_allday pdxreal1 henspangled2020</t>
  </si>
  <si>
    <t>miamidolphins izi_kljucanin mysportsupdate</t>
  </si>
  <si>
    <t>lostdiva marypop987 wadeturnbull</t>
  </si>
  <si>
    <t>a21starman maxmad39388773 newworldanglo</t>
  </si>
  <si>
    <t>pdxsburning deonteddj 20minpromo</t>
  </si>
  <si>
    <t>rncresearch collinrugg wingsatlast</t>
  </si>
  <si>
    <t>toonimator quigonjenna markceleste2727</t>
  </si>
  <si>
    <t>carissasnewlife cardiwithpearls on_bicycle</t>
  </si>
  <si>
    <t>disableddoctor galena_white seenadsgo</t>
  </si>
  <si>
    <t>jamescrepea thavyxay ritchieontrack</t>
  </si>
  <si>
    <t>endofracism intm_student tina67536990</t>
  </si>
  <si>
    <t>diedsuddenly_ byronstine barry317446</t>
  </si>
  <si>
    <t>chase_the_high decayingla 2020insofewways</t>
  </si>
  <si>
    <t>fox12oregon miavtv</t>
  </si>
  <si>
    <t>msolurin kenwelcome0001</t>
  </si>
  <si>
    <t>hunnybadgermom italiangirl104</t>
  </si>
  <si>
    <t>spartytoon tyleroakley</t>
  </si>
  <si>
    <t>itsbedtime_ zlorple</t>
  </si>
  <si>
    <t>ac7ionmann therealfarley</t>
  </si>
  <si>
    <t>lindas_here a_tothe_z_amber</t>
  </si>
  <si>
    <t>susan35763565 goodvibepolitik</t>
  </si>
  <si>
    <t>quintonmurdock sabo_cat161</t>
  </si>
  <si>
    <t>j_mcdonald81 lukeroth1015</t>
  </si>
  <si>
    <t>beelofosho rayterrill</t>
  </si>
  <si>
    <t>dutch52050550 streetfighthard</t>
  </si>
  <si>
    <t>seiginotora_tm kiryussideburns</t>
  </si>
  <si>
    <t>hannahcrazyhawk joannanobanana</t>
  </si>
  <si>
    <t>lakotaman1 dickmar52</t>
  </si>
  <si>
    <t>foeayem bessbousaa</t>
  </si>
  <si>
    <t>meggie_meg26 vanhopecomedy</t>
  </si>
  <si>
    <t>dedevotesblue sawyerhackett</t>
  </si>
  <si>
    <t>muellershewrote murray_tim</t>
  </si>
  <si>
    <t>gentlypress mordechaiklompa</t>
  </si>
  <si>
    <t>chuckwoolery billy_purcell</t>
  </si>
  <si>
    <t>shaving_s nothoodlum</t>
  </si>
  <si>
    <t>naomi_d_harvey pardonmypain</t>
  </si>
  <si>
    <t>mehdirhasan xsandman00</t>
  </si>
  <si>
    <t>weatherjefe w7enk</t>
  </si>
  <si>
    <t>yashar pdxfanatic</t>
  </si>
  <si>
    <t>ronnyjacksontx lisaandemma</t>
  </si>
  <si>
    <t>fauxnamerice weedlings73</t>
  </si>
  <si>
    <t>greg16676935420 theemsmolly</t>
  </si>
  <si>
    <t>steakfrankhouse shooty_mcbooty</t>
  </si>
  <si>
    <t>oregonlive ohsubrain</t>
  </si>
  <si>
    <t>lupus_chat katesattler</t>
  </si>
  <si>
    <t>gregormacdonald redbuckman</t>
  </si>
  <si>
    <t>jazzie654 zerocharisma</t>
  </si>
  <si>
    <t>nypost robertjkingsbu1</t>
  </si>
  <si>
    <t>jennife39481653 keneakers</t>
  </si>
  <si>
    <t>glorianelson joepompliano</t>
  </si>
  <si>
    <t>dennisthatsit em1liath</t>
  </si>
  <si>
    <t>dannymarang 1markcoker</t>
  </si>
  <si>
    <t>missbeccabenz negroleagueman</t>
  </si>
  <si>
    <t>dickhughes orcapitalbureau</t>
  </si>
  <si>
    <t>URLs in Tweet by Count</t>
  </si>
  <si>
    <t>https://www.youtube.com/watch?v=oVWDz6HzozI https://apnews.com/article/israel-hamas-war-news-01-21-2024-02caafa092668ecc7ff122229c166807</t>
  </si>
  <si>
    <t>https://www.washingtonpost.com/world/2023/11/06/israel-hamas-war-gaza-news-palestine/ https://wapo.st/45mSV1C</t>
  </si>
  <si>
    <t>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t>
  </si>
  <si>
    <t>URLs in Tweet by Salience</t>
  </si>
  <si>
    <t>https://apnews.com/article/israel-hamas-war-news-01-21-2024-02caafa092668ecc7ff122229c166807 https://www.youtube.com/watch?v=oVWDz6HzozI</t>
  </si>
  <si>
    <t>https://wapo.st/45mSV1C https://www.washingtonpost.com/world/2023/11/06/israel-hamas-war-gaza-news-palestine/</t>
  </si>
  <si>
    <t>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https://www.bizjournals.com/portland/news/2024/01/26/oregon-wine-beer-taxes-econorthwest-report.html?csrc=6398&amp;taid=65b49bf74d231b00014dcf3c&amp;utm_campaign=trueAnthemTrendingContent&amp;utm_medium=trueAnthem&amp;utm_source=twitter</t>
  </si>
  <si>
    <t>Domains in Tweet by Count</t>
  </si>
  <si>
    <t>youtube.com apnews.com</t>
  </si>
  <si>
    <t>washingtonpost.com wapo.st</t>
  </si>
  <si>
    <t>Domains in Tweet by Salience</t>
  </si>
  <si>
    <t>wapo.st washingtonpost.com</t>
  </si>
  <si>
    <t>Hashtags in Tweet by Count</t>
  </si>
  <si>
    <t>Hashtags in Tweet by Salience</t>
  </si>
  <si>
    <t>realestateagent grinding mrexp exprealty realtorlife realtor realestate</t>
  </si>
  <si>
    <t>bitcoin worldeconomicforum depopulation spoileralert</t>
  </si>
  <si>
    <t>hawaiifire maui lahaina</t>
  </si>
  <si>
    <t>portland tornado pnw</t>
  </si>
  <si>
    <t>washingtoncountyoregon multnomahcounty kingcountywa</t>
  </si>
  <si>
    <t>Top Words in Tweet by Count</t>
  </si>
  <si>
    <t>insiders moves #orleg think orcapitalbureau tank government state needed oregon</t>
  </si>
  <si>
    <t>trending history crusades looking decayingla see death chase_the_high computers before</t>
  </si>
  <si>
    <t>done vocal amazing hear adamant being sc take priority part</t>
  </si>
  <si>
    <t>people look lot aa_ronneous fam time death accidentally actual drunk</t>
  </si>
  <si>
    <t>commute streets lower roads keeping shorter classes benedtl wealthy fees</t>
  </si>
  <si>
    <t>program pays collecting majority administration stopped tax money collected</t>
  </si>
  <si>
    <t>rise timeframe doctor therapeutic one certain aggregate death doctors gave</t>
  </si>
  <si>
    <t>took years negroleagueman dodgers always much mental ten during against</t>
  </si>
  <si>
    <t>death 25 surpasses gaza 000 israel announces another hostage attacks</t>
  </si>
  <si>
    <t>city taxing downtown next freely death pay public state use</t>
  </si>
  <si>
    <t>signatures statewide collecting vote need gather works state oregon citizens</t>
  </si>
  <si>
    <t>days deal #exprealty working night #grinding being #mrexp making easy</t>
  </si>
  <si>
    <t>roads lead oregoncitizen_ 16k well setting person offering month</t>
  </si>
  <si>
    <t>those isis allies jakeguyco death regime's syria nusra mrs_socialista american</t>
  </si>
  <si>
    <t>need house order maui dollars 75 communities 80 currently massive</t>
  </si>
  <si>
    <t>team's offseason align everyone stars transfer league relatively management disappointing</t>
  </si>
  <si>
    <t>games being dannymarang coach stop yes mean played away classical</t>
  </si>
  <si>
    <t>cancer mental patient</t>
  </si>
  <si>
    <t>esteban appel ortiz macdonald max charlie edouard ospina cameron mar</t>
  </si>
  <si>
    <t>studio industry developer took excuse basis game account work biannual</t>
  </si>
  <si>
    <t>home move really corporate blizzard one work longer expensive evil</t>
  </si>
  <si>
    <t>back pretty roll fresh spots yard cool grass brown joepompliano</t>
  </si>
  <si>
    <t>trump look backing evacuate death statistics endofracism biden saying intm_student</t>
  </si>
  <si>
    <t>carry #spoileralert dear definitely approving please #bitcoin #depopulation sand citizens</t>
  </si>
  <si>
    <t>death call innocents gain never keneakers breaks terrifying infuriating state</t>
  </si>
  <si>
    <t>hurricane cut items sales rondesantis good 21 teamdesantis one efforts</t>
  </si>
  <si>
    <t>done google palestinians gaza death going uneducated believe ve contributions</t>
  </si>
  <si>
    <t>israel qb terrorist conference paused answering situation attention bad really</t>
  </si>
  <si>
    <t>money oregoncitizen_ people lecheconcoffee made smithtootie diverted upper think one</t>
  </si>
  <si>
    <t>support initiative citizens' odot place vote tolling requires citizens made</t>
  </si>
  <si>
    <t>spaghetti sonny tons booth re breaking scene godfather</t>
  </si>
  <si>
    <t>gaza nypost during 24 highest war israel fighting killed single</t>
  </si>
  <si>
    <t>wildfire judgment multimillion hathaway another buffett's owned oregon pacificcorp dollar</t>
  </si>
  <si>
    <t>take time thavyxay hype jamescrepea team lessen prime</t>
  </si>
  <si>
    <t>exhausting demoralizing moment galena_white disableddoctor trying whatever go everywhere constantly</t>
  </si>
  <si>
    <t>instead passing drivers traffic ready need jazzie654 holding pay</t>
  </si>
  <si>
    <t>china xi mounts outbreak south demon death contain 2020 january</t>
  </si>
  <si>
    <t>cardiwithpearls lines mistaken recently carissasnewlife one fact realized always right</t>
  </si>
  <si>
    <t>make ll interrupt apple competition eu digital markets efforts pay</t>
  </si>
  <si>
    <t>americans death news well right rises dead breaking lost 14</t>
  </si>
  <si>
    <t>number lens_tales toll_mathew vote slavomiravac2 suhlabs mine</t>
  </si>
  <si>
    <t>taking proactive step starts chapters job one go nw #mentalhealthsupport</t>
  </si>
  <si>
    <t>washington people oregonians bridge driving changer game subsidizing much more</t>
  </si>
  <si>
    <t>important oregonians huge usdot changer game bipartisan critically project 600m</t>
  </si>
  <si>
    <t>definetly people surrounded much job love constantly telling re takes</t>
  </si>
  <si>
    <t>maui history life continue pray lost landscape #lahaina #maui death</t>
  </si>
  <si>
    <t>solar wind growth hey curtailed row related exports excludes lng</t>
  </si>
  <si>
    <t>plan potholes 80 portlanders accidents driving same whatever without pedestrian</t>
  </si>
  <si>
    <t>newsome samhouston92 rising death cars ev policy gas governor killer</t>
  </si>
  <si>
    <t>oregondot tell sun shine shove</t>
  </si>
  <si>
    <t>fingers baseline experiencing #lupuschat perennial symptoms enough lupus_chat isolation maintain</t>
  </si>
  <si>
    <t>oregonlive situation enforcement law crisis ambulance taking healthcare untenable professionals</t>
  </si>
  <si>
    <t>sundays god gotta working weekend thank taking work saturdays hella</t>
  </si>
  <si>
    <t>leia minutes gravity gear medical protective afterwards couple markceleste2727 space</t>
  </si>
  <si>
    <t>war 18 death beckett starmer joe right team biden gaza</t>
  </si>
  <si>
    <t>death x around doubled ve steakfrankhouse back</t>
  </si>
  <si>
    <t>toll's those playing service streaming behalf payment individuals field monthly</t>
  </si>
  <si>
    <t>eventually loved ones think take loss weedlings73</t>
  </si>
  <si>
    <t>adderrall taken mind trump addiction left best joe talking ronnyjacksontx</t>
  </si>
  <si>
    <t>mid reported haitian investigation government numbers death official questioned believe</t>
  </si>
  <si>
    <t>palestinians support dollars complicit murder continue administration biden death tax</t>
  </si>
  <si>
    <t>today back #pnw fewer history deadliest metro residents death happened</t>
  </si>
  <si>
    <t>tornado vancouver hit wa people 300 crossed 51st injuring today</t>
  </si>
  <si>
    <t>hamas both civilian hide escape high locations justice death civilians</t>
  </si>
  <si>
    <t>gaza death live updates coming israel officials aid health blinken</t>
  </si>
  <si>
    <t>one turn news huge receptors past processes pathogenic lives bombarding</t>
  </si>
  <si>
    <t>mr well soldier collinrugg health being responsibilities trump especially suggesting</t>
  </si>
  <si>
    <t>israelis 25 divides surpasses gaza death war 000 prolonged palestinian</t>
  </si>
  <si>
    <t>really hate hair fugly upon infect badly quite evident photo</t>
  </si>
  <si>
    <t>concerned seeing photos fans</t>
  </si>
  <si>
    <t>insidious demonic trump persecution whole family state ivanka takes deep</t>
  </si>
  <si>
    <t>19 vaccine diseases patients against protect covid visitors health remember</t>
  </si>
  <si>
    <t>media israelis 36 time video heinous talk palestinians ago share</t>
  </si>
  <si>
    <t>current many killed death 3500 campaign 1982 #ceasefirenow israeli 5000</t>
  </si>
  <si>
    <t>moments blakjordanbreen took row shots hurt easily etc stretch meechiejacobs</t>
  </si>
  <si>
    <t>nazis gold turnstiles scored comedy confused anyone</t>
  </si>
  <si>
    <t>saddles thing same booth put desert middle blazing</t>
  </si>
  <si>
    <t>#supremecourt 01 big corporations corrupt</t>
  </si>
  <si>
    <t>more roberts john million recruiting one chief alleges report fees</t>
  </si>
  <si>
    <t>power call digital yes clocks meggie_meg26 needed hotlines rest free</t>
  </si>
  <si>
    <t>disgusting blown 25 fucking bessbousaa more death twenty already much</t>
  </si>
  <si>
    <t>okay things starting take</t>
  </si>
  <si>
    <t>hidden deaths hundreds northwest #climatecrisis wow wave extra heat</t>
  </si>
  <si>
    <t>knock free call buyer 360 #kingcountywa home going 473 9938</t>
  </si>
  <si>
    <t>mood days shitty ass strike taking mental over everyone collective</t>
  </si>
  <si>
    <t>keep 4am worked 2nd days lakotaman1 work getting start shift</t>
  </si>
  <si>
    <t>gaza 30 20minpromo according seconds sampack00679914 claimed death deonteddj 30k</t>
  </si>
  <si>
    <t>mold flee horrible took #chronicillness time move pnw yes toxins</t>
  </si>
  <si>
    <t>ill struggle hi know home friends anyone disabled chronically inside</t>
  </si>
  <si>
    <t>raise hurting bad night don more being loves thing kiryu</t>
  </si>
  <si>
    <t>2021 gone 2022 row texas car doesn sold days ve</t>
  </si>
  <si>
    <t>death 000 covid hawaii maui today workers more syria ukrainian</t>
  </si>
  <si>
    <t>communism taken genocide father problem fascism large system exception death</t>
  </si>
  <si>
    <t>paid streetfighthard</t>
  </si>
  <si>
    <t>israel specific death wadeturnbull cos gaza marypop987 400 38k</t>
  </si>
  <si>
    <t>mileage sure cameras rayterrill registration word reported something charging system</t>
  </si>
  <si>
    <t>bay going east san bridge leaving lukeroth1015 golden think napa</t>
  </si>
  <si>
    <t>drivers nomorefreeways vmt people issued widen alternative spending create tolling</t>
  </si>
  <si>
    <t>florida people sabo_cat161 well mad mental being worried</t>
  </si>
  <si>
    <t>jeffmerkley bridge offramp largely taken fiddle regard playing retirement annoying</t>
  </si>
  <si>
    <t>fix build wanted work together issue nope bridge pdxreal1 don</t>
  </si>
  <si>
    <t>being chicken painting fish die creek east area more reports</t>
  </si>
  <si>
    <t>inevitable death certainly getting history disaster seen chemical possibly worst</t>
  </si>
  <si>
    <t>cruelty keep think democracy pushing a_tothe_z_amber normalized clown exist bullying</t>
  </si>
  <si>
    <t>addy ghost ac7ionmann throw time coming streams generation desktop pass</t>
  </si>
  <si>
    <t>high relatively couple developments issue ratcheted beer alcohol's wine taxes</t>
  </si>
  <si>
    <t>death announces 25 another surpasses gaza hostage 000 israel palestinian</t>
  </si>
  <si>
    <t>reporting derivative death resorts nyt avoid second use gazan itsbedtime_</t>
  </si>
  <si>
    <t>death date cheap time considering</t>
  </si>
  <si>
    <t>portland took against praying andy trial disappointed love again hunnybadgermom</t>
  </si>
  <si>
    <t>year msolurin release 27 doj death whatever public investigating rikers</t>
  </si>
  <si>
    <t>makeshift 21 passes cemetery builds quakes turkey 000</t>
  </si>
  <si>
    <t>way charging go bridge month seattle ago don</t>
  </si>
  <si>
    <t>sight 25 past gaza death soars war 000 end israel</t>
  </si>
  <si>
    <t>maine year people old 18 community fox12oregon kind enforcement suspect</t>
  </si>
  <si>
    <t>wagner perhaps #orleg tunnel appoint tolling public 205 much loves</t>
  </si>
  <si>
    <t>cobraeconomics tinselfire dwallacewells americans trumpism uneducated really taking imported being</t>
  </si>
  <si>
    <t>Top Words in Tweet by Salience</t>
  </si>
  <si>
    <t>announces another hostage attacks steps palestinian death 25 surpasses gaza</t>
  </si>
  <si>
    <t>games dannymarang coach stop yes mean played away classical starting</t>
  </si>
  <si>
    <t>call innocents gain never keneakers breaks terrifying infuriating state heart</t>
  </si>
  <si>
    <t>made upper think one oregon comment regarding bridge grant tolls</t>
  </si>
  <si>
    <t>gaza rise continues search wildfires expected 93 maui coming israel</t>
  </si>
  <si>
    <t>diseases patients against protect visitors health remember carried particularly before</t>
  </si>
  <si>
    <t>covid hawaii country 000 maui today workers more syria ukrainian</t>
  </si>
  <si>
    <t>going san golden think napa august gate jose cash tolls</t>
  </si>
  <si>
    <t>vmt people issued widen alternative spending create tolling paying hold</t>
  </si>
  <si>
    <t>maine people old 18 community fox12oregon kind enforcement suspect lowest</t>
  </si>
  <si>
    <t>Top Word Pairs in Tweet by Count</t>
  </si>
  <si>
    <t>moves,wannabes  wannabes,oregon  #orpol,orcapitalbureau  oregon,insiders  #orleg,#orpol  think,tank  toll,administrator  latest,moves  administrator,latest  tank,needed</t>
  </si>
  <si>
    <t>see,death  trending,data  ai,see  computers,ai  data,crusades  death,toll  long,before  chase_the_high,looking  decayingla,chase_the_high  looking,history</t>
  </si>
  <si>
    <t>really,vocal  environment,providence  toll,know  take,toll  part,#baonpdx  love,environment  hear,part  adamant,being  ownership,come  sc,obviously</t>
  </si>
  <si>
    <t>look,death  aa_ronneous,captcoronado  time,look  people,time  fam,people  staff,site  sport,actual  okron8,aa_ronneous  drunk,accidentally  kill,people</t>
  </si>
  <si>
    <t>lower,middle  middle,classes  congestion,fees  wealthy,shorter  toll,roads  fees,keeping  classes,streets  streets,wealthy  shorter,commute  commute,times</t>
  </si>
  <si>
    <t>program,stopped  toll,program  tax,program  majority,money  pays,administration  program,majority  money,collected  collecting,toll  administration,collecting  collected,pays</t>
  </si>
  <si>
    <t>speak,math  re,timeframe  barry317446,diedsuddenly_  certain,therapeutic  rise,already  math,seeing  rise,certain  timeframe,years  toll,rise  one,doctor</t>
  </si>
  <si>
    <t>took,retaliate  took,imagine  strength,discipline  much,aged  ten,years  negroleagueman,always  always,struck  shows,tremendous  struck,much  those,years</t>
  </si>
  <si>
    <t>toll,gaza  000,israel  surpasses,25  25,000  death,toll  gaza,surpasses  announces,death  palestinian,death  death,another  israel,steps</t>
  </si>
  <si>
    <t>toll,pay  add,toll  use,drugs  pay,toll  death,next  people,death  toll,use  drugs,freely  freely,public  taxing,people</t>
  </si>
  <si>
    <t>help,collecting  right,visit  believe,citizens  works,believe  visit,gather  gather,signatures  collecting,signatures  vote,need  statewide,vote  tolls,works</t>
  </si>
  <si>
    <t>working,days  worth,#realtor  estate,professional  deal,making  professional,isn  #exprealty,#mrexp  isn,easy  #realestate,#realestateagent  #realtorlife,#realestate  days,working</t>
  </si>
  <si>
    <t>setting,toll  person,setting  well,offering  toll,roads  16k,month  month,lead  offering,16k  lead,person  oregoncitizen_,well</t>
  </si>
  <si>
    <t>tek_sauce,mrs_socialista  nusra,allies  those,isis  death,toll  jakeguyco,tek_sauce  mrs_socialista,american  american,regime's  regime's,death  toll,syria  syria,those</t>
  </si>
  <si>
    <t>house,order  portland,tonight  80,rising  order,before  before,fix  75,billion  need,house  homeless,communities  dollars,people  order,need</t>
  </si>
  <si>
    <t>felt,stars  management,toll  relatively,early  roster,management  again,felt  cup,relatively  open,cup  poor,offseason  exit,home  disappointing,exit</t>
  </si>
  <si>
    <t>starting,losing  mean,more  classical,music  coach,issues  work,heavy  games,row  season,mean  good,dusting  away,work  hard,computer</t>
  </si>
  <si>
    <t>mental,toll  cancer,patient  toll,cancer</t>
  </si>
  <si>
    <t>coronavirus,pandemic  mar,2020  beltekian,diana  ortiz,ospina  joe,macdonald  2020,coronavirus  economist,ritchie  pandemic's,true  bobbie,beltekian  giattino,charlie</t>
  </si>
  <si>
    <t>studio,studio  ago,remember  wife,game  reading,account  developer,move  biannual,basis  around,studio  took,kids  account,wife  basis,toll</t>
  </si>
  <si>
    <t>areas,lay  california,one  lay,really  corporate,evil  work,home  blizzard,telling  home,forcing  move,california  forcing,move  really,epitome</t>
  </si>
  <si>
    <t>toll,fresh  cool,roll  pretty,cool  fresh,grass  back,yard  roll,back  grass,brown  brown,spots  joepompliano,pretty  yard,toll</t>
  </si>
  <si>
    <t>trump,abandoned  toll,saying  000,evacuate  bad,trump  trump,backing  130,000  saudis,yemen  worse,look  backing,saudis  intm_student,endofracism</t>
  </si>
  <si>
    <t>calm,carry  sec,definitely  approving,#bitcoin  enjoy,#spoileralert  #spoileralert,keep  carry,head  #bitcoin,#worldeconomicforum  please,enjoy  definitely,approving  keep,calm</t>
  </si>
  <si>
    <t>death,toll  states,apartheid  gaza,death  rises,heart  absolutely,senseless  innocents,died  terrifying,infuriating  rejects,ceasefire  infuriating,absolutely  jumps,#joebidenisawarcriminal</t>
  </si>
  <si>
    <t>ian,hurricane  hurricane,ian  billion,surplus  engaged,recovery  one,lowest  tax,children  recovery,efforts  nation,good  hurricane,nicole  madeintheusanj,teamdesantis</t>
  </si>
  <si>
    <t>palestine,well  believe,uneducated  monstrosities,israel  done,palestine  uneducated,people  toll,palestinians  dropped,gaza  palestinians,amount  bombs,dropped  well,contributions</t>
  </si>
  <si>
    <t>things,israel  #dolphins,qb  conference,discuss  answering,one  difficult,situation  discuss,difficult  israel,bring  qb,tua  one,question  bad,things</t>
  </si>
  <si>
    <t>toll,money  smithtootie,oregoncitizen_  lecheconcoffee,smithtootie  upper,income  people,focus  subsidizing,ev's  oregoncitizen_,bridge  money,made  diverted,guessing  comment,regarding</t>
  </si>
  <si>
    <t>put,toll  before,odot  citizens,made  initiative,requires  requires,citizens'  odot,put  citizens',vote  tolling,support  clear,tolling  support,ip</t>
  </si>
  <si>
    <t>scene,godfather  godfather,re  booth,scene  spaghetti,sonny  re,breaking  breaking,tons  toll,booth  tons,spaghetti</t>
  </si>
  <si>
    <t>israel,24  killed,gaza  single,day  during,war  highest,single  day,toll  gaza,fighting  troops,killed  country's,highest  fighting,country's</t>
  </si>
  <si>
    <t>warren,buffett's  wildfire,judgment  another,multimillion  multimillion,dollar  hit,another  utility,owned  rise,utility  dollar,wildfire  berkshire,hathaway  pacificcorp,hit</t>
  </si>
  <si>
    <t>toll,team  time,prime  jamescrepea,time  prime,lessen  thavyxay,jamescrepea  hype,take  lessen,hype  take,toll</t>
  </si>
  <si>
    <t>toll,repetitive  needs,strangers  exhausting,moment  whatever,re  basic,needs  disableddoctor,exhausting  trying,whatever  strangers,everywhere  moment,takes  justify,basic</t>
  </si>
  <si>
    <t>instead,holding  ready,pay  jazzie654,drivers  drivers,need  passing,instead  pay,passing  holding,traffic  need,toll  toll,ready</t>
  </si>
  <si>
    <t>xi,death  january,28  outbreak,xi  28,2020  contain,demon  mounts,january  china,morning  south,china  china,contain  toll,mounts</t>
  </si>
  <si>
    <t>always,sleeping  gravity,eventually  right,side  one,part  part,face  younger,fact  fact,facial  mistaken,younger  face,always  lines,one</t>
  </si>
  <si>
    <t>ll,make  markets,nothing  apple,gets  clear,signal  don,resist  nothing,apple  digital,markets  competition,digital  booth,operation  regret,ll</t>
  </si>
  <si>
    <t>14,dead  toll,rises  take,well  right,take  americans,right  death,toll  lost,americans  dead,americans  breaking,news  rises,14</t>
  </si>
  <si>
    <t>toll_mathew,slavomiravac2  suhlabs,toll_mathew  lens_tales,mine  number,vote  vote,number  slavomiravac2,lens_tales  mine,number</t>
  </si>
  <si>
    <t>taking,toll  step,#mentalhealthsupport  starts,taking  go,job  one,nw  job,starts  nw,chapters  toll,one  taking,proactive  chapters,taking</t>
  </si>
  <si>
    <t>people,washington  game,changer  really,sure  much,more  driving,people  sure,game  use,bridge  oregonians,people  washington,use  bridge,much</t>
  </si>
  <si>
    <t>teamwork,ve  game,changer  usdot,funding  ve,secured  huge,game  oregonians,intense  secured,600m  funding,critically  bridge,replacement  600m,usdot</t>
  </si>
  <si>
    <t>takes,toll  job,being  definetly,takes  pain,re  re,definetly  people,constantly  much,pain  constantly,telling  being,surrounded  surrounded,people</t>
  </si>
  <si>
    <t>please,continue  beautiful,landscape  homes,businesses  lahaina,maui  maui,please  lost,one  history,lost  continue,pray  besides,local's  pray,donate</t>
  </si>
  <si>
    <t>wind,solar  imo,prospect  lng,exports  solar,related  exports,entirely  prospect,wind  ng,takes  cheap,ng  related,imo  wrt,lng</t>
  </si>
  <si>
    <t>find,without  whatever,twisted  backroad,route  pedestrian,casualties  80,portlanders  watch,potholes  twisted,backroad  potholes,accidents  without,toll  driving,whatever</t>
  </si>
  <si>
    <t>ev,policy  rising,governor  governor,newsome  newsome,ev  banned,gas  gas,cars  samhouston92,seattletimes  newsome,banned  death,toll  policy,killer</t>
  </si>
  <si>
    <t>tell,oregondot  toll,sun  shove,toll  oregondot,shove  sun,shine</t>
  </si>
  <si>
    <t>experiencing,symptoms  toll,isolation  symptoms,treatments  vs,experiencing  debilitation,maintain  baseline,vs  ideas,projects  crossed,#lupuschat  lupus_chat,a5  projects,enough</t>
  </si>
  <si>
    <t>toll,law  taking,toll  untenable,oregonlive  crisis,taking  enforcement,ambulance  ambulance,healthcare  law,enforcement  professionals,situation  situation,untenable  healthcare,professionals</t>
  </si>
  <si>
    <t>hella,saturdays  work,weekend  boy,working  saturdays,sundays  working,hella  ion,gotta  year,taking  weekend,year  thank,god  toll,boy</t>
  </si>
  <si>
    <t>chewie,masks  placed,medical  space,couple  tlj,space  over,mouths  protective,gear  wouldn,such  mouths,nose  toll,given  took,toll</t>
  </si>
  <si>
    <t>500,18  keir,starmer  rishi,sunak  war,mongers  team,joe  sunak,israel  mongers,howard  starmer,war  tonight,500  gaza,death</t>
  </si>
  <si>
    <t>death,toll  ve,doubled  back,death  x,around  toll,ve  around,back  steakfrankhouse,x</t>
  </si>
  <si>
    <t>unless,streaming  unevens,playing  anything,unevens  monthly,payment  streaming,service  individuals,unless  afford,behalf  greg16676935420,know  service,down  down,monthly</t>
  </si>
  <si>
    <t>take,toll  weedlings73,think  loss,loved  loved,ones  eventually,take  ones,eventually  think,loss</t>
  </si>
  <si>
    <t>adderrall,addiction  addiction,taken  losing,mind  talking,trump  trump,losing  ronnyjacksontx,sorry  taken,toll  toll,joe  mind,left  joe,best</t>
  </si>
  <si>
    <t>earthquake,investigation  230,000  february,2010  radio,netherlands  mid,february  investigation,radio  000,earthquake  netherlands,questioned  numbers,believe  believe,somehow</t>
  </si>
  <si>
    <t>cleansing,palestinians  biden,administration  ethnic,cleansing  rise,tax  support,ceasefire  ceasefire,death  death,toll  complicit,ethnic  toll,murder  continue,rise</t>
  </si>
  <si>
    <t>hit,#portland  fewer,residents  history,many  #tornado,hit  #portland,metro  metro,recorded  recorded,history  residents,back  rare,tornadoes  today,marks</t>
  </si>
  <si>
    <t>killing,people  river,moved  51st,anniversary  down,portland  moved,vancouver  columbia,river  300,tornado  injuring,300  rated,tornado  1972,vancouver</t>
  </si>
  <si>
    <t>civilian,areas  escape,justice  mehdirhasan,condemn  hamas,both  hamas,didn  hamas,escape  both,blame  civilian,death  didn,hide  military,locations</t>
  </si>
  <si>
    <t>live,updates  death,toll  gaza,death  toll,passes  health,officials  officials,blinken  gaza,war  more,aid  updates,gaza  000,health</t>
  </si>
  <si>
    <t>various,autoimmune  see,turn  one,past  pathogenic,materials  past,lives  modifying,toll  huge,news  tasked,modifying  naomi_d_harvey,having  autoimmune,processes</t>
  </si>
  <si>
    <t>rncresearch,come  well,being  seems,taking  trump,stress  especially,mr  president,especially  biden,clearly  suggesting,fallen  stress,strain  taking,toll</t>
  </si>
  <si>
    <t>surpasses,25  death,toll  palestinian,death  000,prolonged  toll,gaza  war,divides  25,000  prolonged,war  divides,israelis  gaza,surpasses</t>
  </si>
  <si>
    <t>hate,really  take,toll  photo,maria  maria,posted  evident,photo  toll,upon  posted,badly  infect,hair  body,infect  badly,hate</t>
  </si>
  <si>
    <t>seeing,photos  concerned,seeing  fans,concerned</t>
  </si>
  <si>
    <t>deep,state  state,persecution  family,takes  persecution,ivanka  trump,family  whole,trump  takes,toll  demonic,deep  insidious,demonic  ivanka,whole</t>
  </si>
  <si>
    <t>covid,19  before,vaccine  care,workers  killed,huge  health,care  diseases,carried  treatments,reduced  inflicts,particularly  kevinnbass,hospitals  robin_shattock,covid</t>
  </si>
  <si>
    <t>one,heinous  against,palestinians  36,years  israelis,carried  time,palestine  share,truth  ago,media  media,outlets  palestinians,36  follow,video</t>
  </si>
  <si>
    <t>israel's,current  1982,already  israeli,soldiers  times,many  already,horrific  campaign,five  killed,israeli  5000,palestinians  genocidal,campaign  many,#ceasefirenow</t>
  </si>
  <si>
    <t>trevor00988477,sure  kawhi,etc  babyesko3900,meechiejacobs  started,miss  clutch,momentum  effort,staying  moreover,offen  sure,effort  toll,hurt  stretch,clutch</t>
  </si>
  <si>
    <t>confused,turnstiles  turnstiles,comedy  anyone,scored  comedy,gold  gold,anyone  nazis,confused</t>
  </si>
  <si>
    <t>same,thing  blazing,saddles  saddles,put  put,toll  thing,blazing  toll,booth  middle,desert  booth,middle</t>
  </si>
  <si>
    <t>toll,big  corporations,01  corrupt,toll  big,corporations  #supremecourt,corrupt</t>
  </si>
  <si>
    <t>court,below  showing,earnings  firms,business  10,million  law,firms  earnings,more  below,one  million,recruiting  jane,roberts  wow,whistleblower</t>
  </si>
  <si>
    <t>call,power  hotlines,call  toll,free  power,needed  meggie_meg26,yes  free,hotlines  yes,toll  digital,clocks  needed,rest  rest,digital</t>
  </si>
  <si>
    <t>already,25  25,thousand  eight,soldiers  twenty,eight  more,fucking  much,more  palestinian,death  toll,much  trying,add  blown,trying</t>
  </si>
  <si>
    <t>starting,take  things,starting  okay,things  take,toll</t>
  </si>
  <si>
    <t>wow,#climatecrisis  extra,deaths  toll,northwest  hidden,toll  wave,hundreds  heat,wave  hundreds,extra  northwest,heat  #climatecrisis,hidden</t>
  </si>
  <si>
    <t>premium,price  seller,consultation  #multnomahcounty,#kingcountywa  9938,#multnomahcounty  going,premium  #kingcountywa,#washingtoncountyoregon  number,free  call,toll  buyer,seller  home,call</t>
  </si>
  <si>
    <t>mood,over  ass,mood  strike,everyone  collective,shitty  wrap,shit  over,20  shitty,ass  20,days  taking,mental  shit,taking</t>
  </si>
  <si>
    <t>lakotaman1,keep  days,getting  start,2nd  2nd,shift  work,start  keep,good  shift,tomorrow  good,work  takes,toll  4am,takes</t>
  </si>
  <si>
    <t>30k,approximately  gaza,death  gaza,around  toll,according  deonteddj,last  took,30  30,seconds  around,30k  approximately,claimed  sampack00679914,20minpromo</t>
  </si>
  <si>
    <t>toxins,#mcas  hell,horrible  pnw,isn  home,mold  took,body  environmental,toxins  body,mind  first,time  mold,environmental  horrible,pnw</t>
  </si>
  <si>
    <t>chronically,ill  disabled,chronically  struggle,mold  inside,home  mold,inside  friends,anyone  know,struggle  anyone,know  hi,disabled  ill,friends</t>
  </si>
  <si>
    <t>work,don  especially,loves  love,especially  loving,hero  damn,sure  much,love  know,make  hero,much  night,misadventure  closest,thing</t>
  </si>
  <si>
    <t>texas,start  drive,car  huh,partner  doesn,drive  gone,end  start,december  2022,ve  partner,doesn  toll,days  row,texas</t>
  </si>
  <si>
    <t>death,toll  more,000  turkey,syria  000,ankara  100,gov  genocidal,criminals  36,hundreds  10,44  major,disaster  wildfire,1918</t>
  </si>
  <si>
    <t>nazism,inherent  ideology,communism  lesnara2,maxmad39388773  theory,one  toll,ideology  problem,genocide  one,exception  communism,large  father,band  communism,political</t>
  </si>
  <si>
    <t>streetfighthard,paid  paid,toll</t>
  </si>
  <si>
    <t>death,toll  specific,cos  marypop987,wadeturnbull  cos,death  400,israel  wadeturnbull,specific  gaza,400  38k,gaza  toll,38k</t>
  </si>
  <si>
    <t>works,tracking  something,works  tracking,mileage  mileage,sure  annual,reported  charging,based  mileage,mileage  toll,system  credibility,word  similar,toll</t>
  </si>
  <si>
    <t>east,bay  going,san  dude,everywhere  august,going  think,toll  oakland,side  bay,napa  bay,bridge  lukeroth1015,make  cash,tolls</t>
  </si>
  <si>
    <t>walk,bike  hold,under  support,spending  scrutiny,bonds  create,illusion  running,push  non,car  tolling,revenue  #nomorefreeways,nomorefreeways  ask,whether</t>
  </si>
  <si>
    <t>well,being  sabo_cat161,mad  being,florida  mental,toll  worried,mental  toll,well  mad,worried  florida,people</t>
  </si>
  <si>
    <t>toll,bridge  seanhannity,needs  bridge,fund  outside,or3  second,fiddle  regard,opposition  oregonsos,copies  copies,pastes  pastes,annoying  taken,toll</t>
  </si>
  <si>
    <t>work,together  together,build  fix,work  nope,toll  don,fix  bridge,nope  wanted,fix  issue,wanted  build,bridge  fix,issue</t>
  </si>
  <si>
    <t>full,dead  ohio,notice  being,reported  picture,being  fish,combined  palestine,ohio  notice,full  reports,chicken  arrested,area  taken,creek</t>
  </si>
  <si>
    <t>worst,chemical  chemical,disaster  certainly,inevitable  toll,seen  possibly,worst  disaster,history  seen,certainly  history,death  coverage,possibly  death,toll</t>
  </si>
  <si>
    <t>takes,toll  pushing,truth  a_tothe_z_amber,understand  truth,democracy  tired,keep  years,fighting  fighting,orange  think,years  normalized,cruelty  clown,minions</t>
  </si>
  <si>
    <t>desktop,streams  towel,pass  doing,addy  throw,towel  streamers,coming  generation,streamers  quite,toll  40,taking  next,eager  still,doing</t>
  </si>
  <si>
    <t>state,couple  oregon's,relatively  developments,ratcheted  issue,state  modest,beer  beer,wine  wine,taxes  perennial,issue  relatively,modest  high,toll</t>
  </si>
  <si>
    <t>toll,gaza  announces,death  palestinian,death  000,israel  surpasses,25  25,000  death,another  death,toll  gaza,surpasses  israel,announces</t>
  </si>
  <si>
    <t>gazan,death  second,derivative  nyt,resorts  use,second  reporting,gazan  death,toll  resorts,use  derivative,avoid  avoid,reporting  itsbedtime_,nyt</t>
  </si>
  <si>
    <t>death,toll  time,cheap  considering,death  toll,time  cheap,date</t>
  </si>
  <si>
    <t>disappointed,again  always,praying  courtroom,always  praying,change  trial,took  change,portland  against,odds  portland,justice  andy,trial  toll,courtroom</t>
  </si>
  <si>
    <t>number,year  last,year  whatever,number  deaths,last  release,public  calls,release  msolurin,19  plus,27  crisis,sounds  sounds,attorney</t>
  </si>
  <si>
    <t>turkey,builds  toll,quakes  builds,makeshift  passes,21  quakes,passes  makeshift,cemetery  21,000  000,turkey</t>
  </si>
  <si>
    <t>seattle,charging  ago,don  go,seattle  month,ago  way,go  toll,bridge  charging,toll  bridge,month</t>
  </si>
  <si>
    <t>toll,soars  soars,past  sight,israel  palestinian,death  past,25  25,000  000,gaza  death,toll  gaza,end  israel,hamas</t>
  </si>
  <si>
    <t>suspect,40  last,year  toll,climbs  40,year  old,robert  shootings,16  data,shows  18,law  climbs,18  kind,impact</t>
  </si>
  <si>
    <t>transportation,#orpol  tunnel,instead  much,perhaps  toll,tunnel  perhaps,toll  205,public  public,transportation  tolling,much  #orpol,#orleg  wagner,appoint</t>
  </si>
  <si>
    <t>trumpism,being  russia,wealthy  really,taking  know,trumpism  dwallacewells,know  tinselfire,dwallacewells  being,imported  cobraeconomics,tinselfire  uneducated,americans  imported,russia</t>
  </si>
  <si>
    <t>Top Word Pairs in Tweet by Salience</t>
  </si>
  <si>
    <t>announces,death  palestinian,death  death,another  israel,steps  steps,attacks  israel,announces  another,hostage  toll,gaza  000,israel  surpasses,25</t>
  </si>
  <si>
    <t>states,apartheid  gaza,death  rises,heart  absolutely,senseless  innocents,died  terrifying,infuriating  rejects,ceasefire  infuriating,absolutely  jumps,#joebidenisawarcriminal  toll,jumps</t>
  </si>
  <si>
    <t>upper,income  people,focus  subsidizing,ev's  oregoncitizen_,bridge  money,made  diverted,guessing  comment,regarding  ev's,oregon  oregon,upper  reasonable,people</t>
  </si>
  <si>
    <t>maui,wildfires  rise,search  updates,death  search,continues  93,expected  wildfires,93  toll,maui  expected,rise  gaza,death  toll,passes</t>
  </si>
  <si>
    <t>before,vaccine  care,workers  killed,huge  health,care  diseases,carried  treatments,reduced  inflicts,particularly  kevinnbass,hospitals  robin_shattock,covid  diseases,patients</t>
  </si>
  <si>
    <t>more,000  turkey,syria  000,ankara  100,gov  genocidal,criminals  36,hundreds  10,44  major,disaster  wildfire,1918  28,000</t>
  </si>
  <si>
    <t>going,san  dude,everywhere  august,going  think,toll  oakland,side  bay,napa  bay,bridge  lukeroth1015,make  cash,tolls  san,jose</t>
  </si>
  <si>
    <t>Count of Tweet Date (UTC)</t>
  </si>
  <si>
    <t>Row Labels</t>
  </si>
  <si>
    <t>Grand Total</t>
  </si>
  <si>
    <t>2023</t>
  </si>
  <si>
    <t>Jan</t>
  </si>
  <si>
    <t>2-Jan</t>
  </si>
  <si>
    <t>11 PM</t>
  </si>
  <si>
    <t>4-Jan</t>
  </si>
  <si>
    <t>3 AM</t>
  </si>
  <si>
    <t>11-Jan</t>
  </si>
  <si>
    <t>2 AM</t>
  </si>
  <si>
    <t>16-Jan</t>
  </si>
  <si>
    <t>21-Jan</t>
  </si>
  <si>
    <t>9 PM</t>
  </si>
  <si>
    <t>Feb</t>
  </si>
  <si>
    <t>6-Feb</t>
  </si>
  <si>
    <t>2 PM</t>
  </si>
  <si>
    <t>8-Feb</t>
  </si>
  <si>
    <t>12 AM</t>
  </si>
  <si>
    <t>10-Feb</t>
  </si>
  <si>
    <t>1 AM</t>
  </si>
  <si>
    <t>10 PM</t>
  </si>
  <si>
    <t>11-Feb</t>
  </si>
  <si>
    <t>8 PM</t>
  </si>
  <si>
    <t>12-Feb</t>
  </si>
  <si>
    <t>13-Feb</t>
  </si>
  <si>
    <t>5 AM</t>
  </si>
  <si>
    <t>19-Feb</t>
  </si>
  <si>
    <t>26-Feb</t>
  </si>
  <si>
    <t>Mar</t>
  </si>
  <si>
    <t>7-Mar</t>
  </si>
  <si>
    <t>11 AM</t>
  </si>
  <si>
    <t>8-Mar</t>
  </si>
  <si>
    <t>11-Mar</t>
  </si>
  <si>
    <t>13-Mar</t>
  </si>
  <si>
    <t>7 PM</t>
  </si>
  <si>
    <t>24-Mar</t>
  </si>
  <si>
    <t>Apr</t>
  </si>
  <si>
    <t>5-Apr</t>
  </si>
  <si>
    <t>6 PM</t>
  </si>
  <si>
    <t>13-Apr</t>
  </si>
  <si>
    <t>15-Apr</t>
  </si>
  <si>
    <t>16-Apr</t>
  </si>
  <si>
    <t>28-Apr</t>
  </si>
  <si>
    <t>May</t>
  </si>
  <si>
    <t>8-May</t>
  </si>
  <si>
    <t>12-May</t>
  </si>
  <si>
    <t>23-May</t>
  </si>
  <si>
    <t>26-May</t>
  </si>
  <si>
    <t>Jun</t>
  </si>
  <si>
    <t>3-Jun</t>
  </si>
  <si>
    <t>4 AM</t>
  </si>
  <si>
    <t>12-Jun</t>
  </si>
  <si>
    <t>4 PM</t>
  </si>
  <si>
    <t>18-Jun</t>
  </si>
  <si>
    <t>Jul</t>
  </si>
  <si>
    <t>4-Jul</t>
  </si>
  <si>
    <t>17-Jul</t>
  </si>
  <si>
    <t>6 AM</t>
  </si>
  <si>
    <t>26-Jul</t>
  </si>
  <si>
    <t>3 PM</t>
  </si>
  <si>
    <t>30-Jul</t>
  </si>
  <si>
    <t>5 PM</t>
  </si>
  <si>
    <t>Aug</t>
  </si>
  <si>
    <t>5-Aug</t>
  </si>
  <si>
    <t>7-Aug</t>
  </si>
  <si>
    <t>10-Aug</t>
  </si>
  <si>
    <t>12-Aug</t>
  </si>
  <si>
    <t>8 AM</t>
  </si>
  <si>
    <t>13-Aug</t>
  </si>
  <si>
    <t>14-Aug</t>
  </si>
  <si>
    <t>16-Aug</t>
  </si>
  <si>
    <t>19-Aug</t>
  </si>
  <si>
    <t>Sep</t>
  </si>
  <si>
    <t>5-Sep</t>
  </si>
  <si>
    <t>7-Sep</t>
  </si>
  <si>
    <t>24-Sep</t>
  </si>
  <si>
    <t>Oct</t>
  </si>
  <si>
    <t>1-Oct</t>
  </si>
  <si>
    <t>7-Oct</t>
  </si>
  <si>
    <t>10-Oct</t>
  </si>
  <si>
    <t>12-Oct</t>
  </si>
  <si>
    <t>15-Oct</t>
  </si>
  <si>
    <t>16-Oct</t>
  </si>
  <si>
    <t>19-Oct</t>
  </si>
  <si>
    <t>26-Oct</t>
  </si>
  <si>
    <t>1 PM</t>
  </si>
  <si>
    <t>28-Oct</t>
  </si>
  <si>
    <t>29-Oct</t>
  </si>
  <si>
    <t>Nov</t>
  </si>
  <si>
    <t>3-Nov</t>
  </si>
  <si>
    <t>6-Nov</t>
  </si>
  <si>
    <t>10-Nov</t>
  </si>
  <si>
    <t>7 AM</t>
  </si>
  <si>
    <t>14-Nov</t>
  </si>
  <si>
    <t>10 AM</t>
  </si>
  <si>
    <t>17-Nov</t>
  </si>
  <si>
    <t>21-Nov</t>
  </si>
  <si>
    <t>Dec</t>
  </si>
  <si>
    <t>3-Dec</t>
  </si>
  <si>
    <t>8-Dec</t>
  </si>
  <si>
    <t>15-Dec</t>
  </si>
  <si>
    <t>16-Dec</t>
  </si>
  <si>
    <t>17-Dec</t>
  </si>
  <si>
    <t>22-Dec</t>
  </si>
  <si>
    <t>2024</t>
  </si>
  <si>
    <t>3-Jan</t>
  </si>
  <si>
    <t>7-Jan</t>
  </si>
  <si>
    <t>17-Jan</t>
  </si>
  <si>
    <t>20-Jan</t>
  </si>
  <si>
    <t>22-Jan</t>
  </si>
  <si>
    <t>23-Jan</t>
  </si>
  <si>
    <t>24-Jan</t>
  </si>
  <si>
    <t>25-Jan</t>
  </si>
  <si>
    <t>26-Jan</t>
  </si>
  <si>
    <t>27-Jan</t>
  </si>
  <si>
    <t>28-Jan</t>
  </si>
  <si>
    <t>29-Jan</t>
  </si>
  <si>
    <t>192, 192, 192</t>
  </si>
  <si>
    <t>G1: toll death 000 gaza israel maui days relatively more 25</t>
  </si>
  <si>
    <t>G2: toll money oregoncitizen_ tolling people made smithtootie oregondot drivers lecheconcoffee</t>
  </si>
  <si>
    <t>G3: bridge toll oregonians people changer game jeffmerkley washington</t>
  </si>
  <si>
    <t>G4: toll protect covid patients against 19 diseases visitors vaccine</t>
  </si>
  <si>
    <t>G6: people</t>
  </si>
  <si>
    <t>G7: hurricane cut</t>
  </si>
  <si>
    <t>G8: cobraeconomics</t>
  </si>
  <si>
    <t>G9: number</t>
  </si>
  <si>
    <t>G11: toll state signatures fix</t>
  </si>
  <si>
    <t>G12: israel done</t>
  </si>
  <si>
    <t>G14: communism toll</t>
  </si>
  <si>
    <t>G15: gaza</t>
  </si>
  <si>
    <t>G16: mr well</t>
  </si>
  <si>
    <t>G17: leia</t>
  </si>
  <si>
    <t>G19: exhausting</t>
  </si>
  <si>
    <t>G21: trump</t>
  </si>
  <si>
    <t>G22: rise timeframe</t>
  </si>
  <si>
    <t>G24: maine year death toll</t>
  </si>
  <si>
    <t>G25: year</t>
  </si>
  <si>
    <t>G31: being</t>
  </si>
  <si>
    <t>G33: bay going east san bridge leaving toll lukeroth1015</t>
  </si>
  <si>
    <t>G34: mileage sure</t>
  </si>
  <si>
    <t>G36: toll</t>
  </si>
  <si>
    <t>G37: mold home</t>
  </si>
  <si>
    <t>G41: more roberts</t>
  </si>
  <si>
    <t>G43: media palestinians</t>
  </si>
  <si>
    <t>G45: really hate</t>
  </si>
  <si>
    <t>G47: hamas both civilian hide</t>
  </si>
  <si>
    <t>G48: today tornado vancouver deadliest hit</t>
  </si>
  <si>
    <t>G49: palestinians</t>
  </si>
  <si>
    <t>G56: solar wind growth hey</t>
  </si>
  <si>
    <t>G59: death toll</t>
  </si>
  <si>
    <t>G61: move work home studio</t>
  </si>
  <si>
    <t>G62: games being toll</t>
  </si>
  <si>
    <t>G63: took years</t>
  </si>
  <si>
    <t>Edge Weight▓1▓2▓0▓True▓Silver▓Red▓▓Edge Weight▓1▓2▓0▓3▓10▓False▓Edge Weight▓1▓2▓0▓32▓10▓False▓▓0▓0▓0▓True▓Black▓Black▓▓In-Degree▓1▓1▓0▓70▓1000▓False▓▓0▓0▓0▓0▓0▓False▓▓0▓0▓0▓0▓0▓False▓▓0▓0▓0▓0▓0▓False</t>
  </si>
  <si>
    <t>Subgraph</t>
  </si>
  <si>
    <t>GraphSource░TwitterSearch3▓GraphTerm░toll geocode:45.30514,-122.40036,50mi▓ImportDescription░The graph represents a network of 218 Twitter users whose recent tweets contained "toll geocode:45.30514,-122.40036,50mi", or who were replied to, mentioned, retweeted or quoted in those tweets, taken from a data set limited to a maximum of 30,000 tweets, tweeted between 1/1/2023 12:00:00 AM and 1/29/2024 5:26:12 PM.  The network was obtained from Twitter on Tuesday, 30 January 2024 at 01:26 UTC.
The tweets in the network were tweeted over the 391-day, 17-hour, 37-minute period from Monday, 02 January 2023 at 23:48 UTC to Monday, 29 January 2024 at 17:26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above.▓ImportSuggestedTitle░toll geocode:45.30514,-122.40036,50mi Twitter NodeXL SNA Map and Report for Tuesday, 30 January 2024 at 01:26 UTC▓ImportSuggestedFileNameNoExtension░2024-01-30 01-26-23 NodeXL Twitter Search toll geocode:45.30514,-122.40036,50mi▓GroupingDescription░The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</si>
  <si>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</si>
  <si>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https://nodexlgraphgallery.org/Pages/Graph.aspx?graphID=294400</t>
  </si>
  <si>
    <t>https://nodexlgraphgallery.org/Images/Image.ashx?graphID=294400&amp;type=f</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</si>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</sst>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184554"/>
        <c:axId val="7334395"/>
      </c:barChart>
      <c:catAx>
        <c:axId val="231845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334395"/>
        <c:crosses val="autoZero"/>
        <c:auto val="1"/>
        <c:lblOffset val="100"/>
        <c:noMultiLvlLbl val="0"/>
      </c:catAx>
      <c:valAx>
        <c:axId val="7334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84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toll geocode:45.30514,-122.40036,50mi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Series'!$A$26:$A$250</c:f>
              <c:strCache>
                <c:ptCount val="127"/>
                <c:pt idx="0">
                  <c:v>11 PM
2-Jan
Jan
2023</c:v>
                </c:pt>
                <c:pt idx="1">
                  <c:v>3 AM
4-Jan</c:v>
                </c:pt>
                <c:pt idx="2">
                  <c:v>2 AM
11-Jan</c:v>
                </c:pt>
                <c:pt idx="3">
                  <c:v>11 PM
16-Jan</c:v>
                </c:pt>
                <c:pt idx="4">
                  <c:v>9 PM
21-Jan</c:v>
                </c:pt>
                <c:pt idx="5">
                  <c:v>2 PM
6-Feb
Feb</c:v>
                </c:pt>
                <c:pt idx="6">
                  <c:v>12 AM
8-Feb</c:v>
                </c:pt>
                <c:pt idx="7">
                  <c:v>1 AM
10-Feb</c:v>
                </c:pt>
                <c:pt idx="8">
                  <c:v>10 PM</c:v>
                </c:pt>
                <c:pt idx="9">
                  <c:v>8 PM
11-Feb</c:v>
                </c:pt>
                <c:pt idx="10">
                  <c:v>11 PM</c:v>
                </c:pt>
                <c:pt idx="11">
                  <c:v>12 AM
12-Feb</c:v>
                </c:pt>
                <c:pt idx="12">
                  <c:v>5 AM
13-Feb</c:v>
                </c:pt>
                <c:pt idx="13">
                  <c:v>11 PM
19-Feb</c:v>
                </c:pt>
                <c:pt idx="14">
                  <c:v>3 AM
26-Feb</c:v>
                </c:pt>
                <c:pt idx="15">
                  <c:v>11 AM
7-Mar
Mar</c:v>
                </c:pt>
                <c:pt idx="16">
                  <c:v>12 AM
8-Mar</c:v>
                </c:pt>
                <c:pt idx="17">
                  <c:v>2 AM</c:v>
                </c:pt>
                <c:pt idx="18">
                  <c:v>3 AM
11-Mar</c:v>
                </c:pt>
                <c:pt idx="19">
                  <c:v>7 PM
13-Mar</c:v>
                </c:pt>
                <c:pt idx="20">
                  <c:v>8 PM
24-Mar</c:v>
                </c:pt>
                <c:pt idx="21">
                  <c:v>2 PM
5-Apr
Apr</c:v>
                </c:pt>
                <c:pt idx="22">
                  <c:v>6 PM</c:v>
                </c:pt>
                <c:pt idx="23">
                  <c:v>10 PM
13-Apr</c:v>
                </c:pt>
                <c:pt idx="24">
                  <c:v>1 AM
15-Apr</c:v>
                </c:pt>
                <c:pt idx="25">
                  <c:v>10 PM
16-Apr</c:v>
                </c:pt>
                <c:pt idx="26">
                  <c:v>6 PM
28-Apr</c:v>
                </c:pt>
                <c:pt idx="27">
                  <c:v>7 PM</c:v>
                </c:pt>
                <c:pt idx="28">
                  <c:v>1 AM
8-May
May</c:v>
                </c:pt>
                <c:pt idx="29">
                  <c:v>7 PM
12-May</c:v>
                </c:pt>
                <c:pt idx="30">
                  <c:v>7 PM
23-May</c:v>
                </c:pt>
                <c:pt idx="31">
                  <c:v>12 AM
26-May</c:v>
                </c:pt>
                <c:pt idx="32">
                  <c:v>6 PM</c:v>
                </c:pt>
                <c:pt idx="33">
                  <c:v>4 AM
3-Jun
Jun</c:v>
                </c:pt>
                <c:pt idx="34">
                  <c:v>4 PM
12-Jun</c:v>
                </c:pt>
                <c:pt idx="35">
                  <c:v>6 PM
18-Jun</c:v>
                </c:pt>
                <c:pt idx="36">
                  <c:v>8 PM
4-Jul
Jul</c:v>
                </c:pt>
                <c:pt idx="37">
                  <c:v>6 AM
17-Jul</c:v>
                </c:pt>
                <c:pt idx="38">
                  <c:v>3 PM
26-Jul</c:v>
                </c:pt>
                <c:pt idx="39">
                  <c:v>5 PM
30-Jul</c:v>
                </c:pt>
                <c:pt idx="40">
                  <c:v>6 PM
5-Aug
Aug</c:v>
                </c:pt>
                <c:pt idx="41">
                  <c:v>11 PM
7-Aug</c:v>
                </c:pt>
                <c:pt idx="42">
                  <c:v>11 PM
10-Aug</c:v>
                </c:pt>
                <c:pt idx="43">
                  <c:v>2 AM
12-Aug</c:v>
                </c:pt>
                <c:pt idx="44">
                  <c:v>8 AM</c:v>
                </c:pt>
                <c:pt idx="45">
                  <c:v>10 PM
13-Aug</c:v>
                </c:pt>
                <c:pt idx="46">
                  <c:v>5 AM
14-Aug</c:v>
                </c:pt>
                <c:pt idx="47">
                  <c:v>2 AM
16-Aug</c:v>
                </c:pt>
                <c:pt idx="48">
                  <c:v>3 PM
19-Aug</c:v>
                </c:pt>
                <c:pt idx="49">
                  <c:v>12 AM
5-Sep
Sep</c:v>
                </c:pt>
                <c:pt idx="50">
                  <c:v>2 PM
7-Sep</c:v>
                </c:pt>
                <c:pt idx="51">
                  <c:v>11 PM
24-Sep</c:v>
                </c:pt>
                <c:pt idx="52">
                  <c:v>2 PM
1-Oct
Oct</c:v>
                </c:pt>
                <c:pt idx="53">
                  <c:v>6 PM
7-Oct</c:v>
                </c:pt>
                <c:pt idx="54">
                  <c:v>6 PM
10-Oct</c:v>
                </c:pt>
                <c:pt idx="55">
                  <c:v>5 PM
12-Oct</c:v>
                </c:pt>
                <c:pt idx="56">
                  <c:v>11 PM
15-Oct</c:v>
                </c:pt>
                <c:pt idx="57">
                  <c:v>4 AM
16-Oct</c:v>
                </c:pt>
                <c:pt idx="58">
                  <c:v>2 AM
19-Oct</c:v>
                </c:pt>
                <c:pt idx="59">
                  <c:v>1 PM
26-Oct</c:v>
                </c:pt>
                <c:pt idx="60">
                  <c:v>4 PM</c:v>
                </c:pt>
                <c:pt idx="61">
                  <c:v>2 AM
28-Oct</c:v>
                </c:pt>
                <c:pt idx="62">
                  <c:v>7 PM
29-Oct</c:v>
                </c:pt>
                <c:pt idx="63">
                  <c:v>10 PM</c:v>
                </c:pt>
                <c:pt idx="64">
                  <c:v>7 PM
3-Nov
Nov</c:v>
                </c:pt>
                <c:pt idx="65">
                  <c:v>2 PM
6-Nov</c:v>
                </c:pt>
                <c:pt idx="66">
                  <c:v>7 AM
10-Nov</c:v>
                </c:pt>
                <c:pt idx="67">
                  <c:v>10 AM
14-Nov</c:v>
                </c:pt>
                <c:pt idx="68">
                  <c:v>11 PM
17-Nov</c:v>
                </c:pt>
                <c:pt idx="69">
                  <c:v>10 PM
21-Nov</c:v>
                </c:pt>
                <c:pt idx="70">
                  <c:v>11 PM</c:v>
                </c:pt>
                <c:pt idx="71">
                  <c:v>6 AM
3-Dec
Dec</c:v>
                </c:pt>
                <c:pt idx="72">
                  <c:v>6 PM
8-Dec</c:v>
                </c:pt>
                <c:pt idx="73">
                  <c:v>11 PM
15-Dec</c:v>
                </c:pt>
                <c:pt idx="74">
                  <c:v>12 AM
16-Dec</c:v>
                </c:pt>
                <c:pt idx="75">
                  <c:v>1 AM
17-Dec</c:v>
                </c:pt>
                <c:pt idx="76">
                  <c:v>2 AM
22-Dec</c:v>
                </c:pt>
                <c:pt idx="77">
                  <c:v>8 PM
2-Jan
Jan
2024</c:v>
                </c:pt>
                <c:pt idx="78">
                  <c:v>11 PM</c:v>
                </c:pt>
                <c:pt idx="79">
                  <c:v>3 PM
3-Jan</c:v>
                </c:pt>
                <c:pt idx="80">
                  <c:v>5 PM
7-Jan</c:v>
                </c:pt>
                <c:pt idx="81">
                  <c:v>1 AM
11-Jan</c:v>
                </c:pt>
                <c:pt idx="82">
                  <c:v>2 PM</c:v>
                </c:pt>
                <c:pt idx="83">
                  <c:v>11 PM
17-Jan</c:v>
                </c:pt>
                <c:pt idx="84">
                  <c:v>8 AM
20-Jan</c:v>
                </c:pt>
                <c:pt idx="85">
                  <c:v>4 PM
21-Jan</c:v>
                </c:pt>
                <c:pt idx="86">
                  <c:v>9 PM</c:v>
                </c:pt>
                <c:pt idx="87">
                  <c:v>12 AM
22-Jan</c:v>
                </c:pt>
                <c:pt idx="88">
                  <c:v>3 AM</c:v>
                </c:pt>
                <c:pt idx="89">
                  <c:v>4 AM</c:v>
                </c:pt>
                <c:pt idx="90">
                  <c:v>3 PM</c:v>
                </c:pt>
                <c:pt idx="91">
                  <c:v>5 PM</c:v>
                </c:pt>
                <c:pt idx="92">
                  <c:v>6 PM</c:v>
                </c:pt>
                <c:pt idx="93">
                  <c:v>7 PM</c:v>
                </c:pt>
                <c:pt idx="94">
                  <c:v>4 AM
23-Jan</c:v>
                </c:pt>
                <c:pt idx="95">
                  <c:v>5 PM</c:v>
                </c:pt>
                <c:pt idx="96">
                  <c:v>6 PM</c:v>
                </c:pt>
                <c:pt idx="97">
                  <c:v>7 PM</c:v>
                </c:pt>
                <c:pt idx="98">
                  <c:v>1 AM
24-Jan</c:v>
                </c:pt>
                <c:pt idx="99">
                  <c:v>1 PM</c:v>
                </c:pt>
                <c:pt idx="100">
                  <c:v>3 PM</c:v>
                </c:pt>
                <c:pt idx="101">
                  <c:v>8 PM</c:v>
                </c:pt>
                <c:pt idx="102">
                  <c:v>9 PM</c:v>
                </c:pt>
                <c:pt idx="103">
                  <c:v>10 PM</c:v>
                </c:pt>
                <c:pt idx="104">
                  <c:v>1 AM
25-Jan</c:v>
                </c:pt>
                <c:pt idx="105">
                  <c:v>4 AM</c:v>
                </c:pt>
                <c:pt idx="106">
                  <c:v>11 AM</c:v>
                </c:pt>
                <c:pt idx="107">
                  <c:v>2 PM</c:v>
                </c:pt>
                <c:pt idx="108">
                  <c:v>11 PM</c:v>
                </c:pt>
                <c:pt idx="109">
                  <c:v>2 AM
26-Jan</c:v>
                </c:pt>
                <c:pt idx="110">
                  <c:v>3 AM</c:v>
                </c:pt>
                <c:pt idx="111">
                  <c:v>10 AM</c:v>
                </c:pt>
                <c:pt idx="112">
                  <c:v>7 PM</c:v>
                </c:pt>
                <c:pt idx="113">
                  <c:v>10 PM</c:v>
                </c:pt>
                <c:pt idx="114">
                  <c:v>6 AM
27-Jan</c:v>
                </c:pt>
                <c:pt idx="115">
                  <c:v>6 PM</c:v>
                </c:pt>
                <c:pt idx="116">
                  <c:v>7 PM</c:v>
                </c:pt>
                <c:pt idx="117">
                  <c:v>8 PM</c:v>
                </c:pt>
                <c:pt idx="118">
                  <c:v>6 AM
28-Jan</c:v>
                </c:pt>
                <c:pt idx="119">
                  <c:v>7 AM</c:v>
                </c:pt>
                <c:pt idx="120">
                  <c:v>5 PM</c:v>
                </c:pt>
                <c:pt idx="121">
                  <c:v>7 PM</c:v>
                </c:pt>
                <c:pt idx="122">
                  <c:v>8 PM</c:v>
                </c:pt>
                <c:pt idx="123">
                  <c:v>9 PM</c:v>
                </c:pt>
                <c:pt idx="124">
                  <c:v>10 PM</c:v>
                </c:pt>
                <c:pt idx="125">
                  <c:v>6 AM
29-Jan</c:v>
                </c:pt>
                <c:pt idx="126">
                  <c:v>2 PM</c:v>
                </c:pt>
              </c:strCache>
            </c:strRef>
          </c:cat>
          <c:val>
            <c:numRef>
              <c:f>'Time Series'!$B$26:$B$250</c:f>
              <c:numCache>
                <c:formatCode>General</c:formatCode>
                <c:ptCount val="127"/>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2</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2</c:v>
                </c:pt>
                <c:pt idx="54">
                  <c:v>1</c:v>
                </c:pt>
                <c:pt idx="55">
                  <c:v>1</c:v>
                </c:pt>
                <c:pt idx="56">
                  <c:v>1</c:v>
                </c:pt>
                <c:pt idx="57">
                  <c:v>1</c:v>
                </c:pt>
                <c:pt idx="58">
                  <c:v>1</c:v>
                </c:pt>
                <c:pt idx="59">
                  <c:v>1</c:v>
                </c:pt>
                <c:pt idx="60">
                  <c:v>1</c:v>
                </c:pt>
                <c:pt idx="61">
                  <c:v>1</c:v>
                </c:pt>
                <c:pt idx="62">
                  <c:v>1</c:v>
                </c:pt>
                <c:pt idx="63">
                  <c:v>1</c:v>
                </c:pt>
                <c:pt idx="64">
                  <c:v>1</c:v>
                </c:pt>
                <c:pt idx="65">
                  <c:v>2</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2</c:v>
                </c:pt>
                <c:pt idx="86">
                  <c:v>1</c:v>
                </c:pt>
                <c:pt idx="87">
                  <c:v>1</c:v>
                </c:pt>
                <c:pt idx="88">
                  <c:v>1</c:v>
                </c:pt>
                <c:pt idx="89">
                  <c:v>1</c:v>
                </c:pt>
                <c:pt idx="90">
                  <c:v>3</c:v>
                </c:pt>
                <c:pt idx="91">
                  <c:v>1</c:v>
                </c:pt>
                <c:pt idx="92">
                  <c:v>1</c:v>
                </c:pt>
                <c:pt idx="93">
                  <c:v>1</c:v>
                </c:pt>
                <c:pt idx="94">
                  <c:v>2</c:v>
                </c:pt>
                <c:pt idx="95">
                  <c:v>1</c:v>
                </c:pt>
                <c:pt idx="96">
                  <c:v>1</c:v>
                </c:pt>
                <c:pt idx="97">
                  <c:v>2</c:v>
                </c:pt>
                <c:pt idx="98">
                  <c:v>1</c:v>
                </c:pt>
                <c:pt idx="99">
                  <c:v>1</c:v>
                </c:pt>
                <c:pt idx="100">
                  <c:v>1</c:v>
                </c:pt>
                <c:pt idx="101">
                  <c:v>1</c:v>
                </c:pt>
                <c:pt idx="102">
                  <c:v>1</c:v>
                </c:pt>
                <c:pt idx="103">
                  <c:v>1</c:v>
                </c:pt>
                <c:pt idx="104">
                  <c:v>2</c:v>
                </c:pt>
                <c:pt idx="105">
                  <c:v>1</c:v>
                </c:pt>
                <c:pt idx="106">
                  <c:v>1</c:v>
                </c:pt>
                <c:pt idx="107">
                  <c:v>1</c:v>
                </c:pt>
                <c:pt idx="108">
                  <c:v>1</c:v>
                </c:pt>
                <c:pt idx="109">
                  <c:v>1</c:v>
                </c:pt>
                <c:pt idx="110">
                  <c:v>1</c:v>
                </c:pt>
                <c:pt idx="111">
                  <c:v>1</c:v>
                </c:pt>
                <c:pt idx="112">
                  <c:v>1</c:v>
                </c:pt>
                <c:pt idx="113">
                  <c:v>1</c:v>
                </c:pt>
                <c:pt idx="114">
                  <c:v>2</c:v>
                </c:pt>
                <c:pt idx="115">
                  <c:v>1</c:v>
                </c:pt>
                <c:pt idx="116">
                  <c:v>2</c:v>
                </c:pt>
                <c:pt idx="117">
                  <c:v>1</c:v>
                </c:pt>
                <c:pt idx="118">
                  <c:v>1</c:v>
                </c:pt>
                <c:pt idx="119">
                  <c:v>1</c:v>
                </c:pt>
                <c:pt idx="120">
                  <c:v>1</c:v>
                </c:pt>
                <c:pt idx="121">
                  <c:v>1</c:v>
                </c:pt>
                <c:pt idx="122">
                  <c:v>2</c:v>
                </c:pt>
                <c:pt idx="123">
                  <c:v>1</c:v>
                </c:pt>
                <c:pt idx="124">
                  <c:v>1</c:v>
                </c:pt>
                <c:pt idx="125">
                  <c:v>2</c:v>
                </c:pt>
                <c:pt idx="126">
                  <c:v>1</c:v>
                </c:pt>
              </c:numCache>
            </c:numRef>
          </c:val>
        </c:ser>
        <c:axId val="44647332"/>
        <c:axId val="66281669"/>
      </c:barChart>
      <c:catAx>
        <c:axId val="44647332"/>
        <c:scaling>
          <c:orientation val="minMax"/>
        </c:scaling>
        <c:axPos val="b"/>
        <c:delete val="0"/>
        <c:numFmt formatCode="General" sourceLinked="1"/>
        <c:majorTickMark val="out"/>
        <c:minorTickMark val="none"/>
        <c:tickLblPos val="nextTo"/>
        <c:crossAx val="66281669"/>
        <c:crosses val="autoZero"/>
        <c:auto val="1"/>
        <c:lblOffset val="100"/>
        <c:noMultiLvlLbl val="0"/>
      </c:catAx>
      <c:valAx>
        <c:axId val="66281669"/>
        <c:scaling>
          <c:orientation val="minMax"/>
        </c:scaling>
        <c:axPos val="l"/>
        <c:majorGridlines/>
        <c:delete val="0"/>
        <c:numFmt formatCode="General" sourceLinked="1"/>
        <c:majorTickMark val="out"/>
        <c:minorTickMark val="none"/>
        <c:tickLblPos val="nextTo"/>
        <c:crossAx val="446473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009556"/>
        <c:axId val="57215093"/>
      </c:barChart>
      <c:catAx>
        <c:axId val="660095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215093"/>
        <c:crosses val="autoZero"/>
        <c:auto val="1"/>
        <c:lblOffset val="100"/>
        <c:noMultiLvlLbl val="0"/>
      </c:catAx>
      <c:valAx>
        <c:axId val="57215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09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173790"/>
        <c:axId val="3910927"/>
      </c:barChart>
      <c:catAx>
        <c:axId val="451737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10927"/>
        <c:crosses val="autoZero"/>
        <c:auto val="1"/>
        <c:lblOffset val="100"/>
        <c:noMultiLvlLbl val="0"/>
      </c:catAx>
      <c:valAx>
        <c:axId val="3910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73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198344"/>
        <c:axId val="48349641"/>
      </c:barChart>
      <c:catAx>
        <c:axId val="351983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349641"/>
        <c:crosses val="autoZero"/>
        <c:auto val="1"/>
        <c:lblOffset val="100"/>
        <c:noMultiLvlLbl val="0"/>
      </c:catAx>
      <c:valAx>
        <c:axId val="48349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98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493586"/>
        <c:axId val="24006819"/>
      </c:barChart>
      <c:catAx>
        <c:axId val="324935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006819"/>
        <c:crosses val="autoZero"/>
        <c:auto val="1"/>
        <c:lblOffset val="100"/>
        <c:noMultiLvlLbl val="0"/>
      </c:catAx>
      <c:valAx>
        <c:axId val="24006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93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734780"/>
        <c:axId val="65504157"/>
      </c:barChart>
      <c:catAx>
        <c:axId val="147347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504157"/>
        <c:crosses val="autoZero"/>
        <c:auto val="1"/>
        <c:lblOffset val="100"/>
        <c:noMultiLvlLbl val="0"/>
      </c:catAx>
      <c:valAx>
        <c:axId val="65504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34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666502"/>
        <c:axId val="4236471"/>
      </c:barChart>
      <c:catAx>
        <c:axId val="526665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36471"/>
        <c:crosses val="autoZero"/>
        <c:auto val="1"/>
        <c:lblOffset val="100"/>
        <c:noMultiLvlLbl val="0"/>
      </c:catAx>
      <c:valAx>
        <c:axId val="4236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66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128240"/>
        <c:axId val="7609841"/>
      </c:barChart>
      <c:catAx>
        <c:axId val="381282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609841"/>
        <c:crosses val="autoZero"/>
        <c:auto val="1"/>
        <c:lblOffset val="100"/>
        <c:noMultiLvlLbl val="0"/>
      </c:catAx>
      <c:valAx>
        <c:axId val="7609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282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79706"/>
        <c:axId val="12417355"/>
      </c:barChart>
      <c:catAx>
        <c:axId val="1379706"/>
        <c:scaling>
          <c:orientation val="minMax"/>
        </c:scaling>
        <c:axPos val="b"/>
        <c:delete val="1"/>
        <c:majorTickMark val="out"/>
        <c:minorTickMark val="none"/>
        <c:tickLblPos val="none"/>
        <c:crossAx val="12417355"/>
        <c:crosses val="autoZero"/>
        <c:auto val="1"/>
        <c:lblOffset val="100"/>
        <c:noMultiLvlLbl val="0"/>
      </c:catAx>
      <c:valAx>
        <c:axId val="12417355"/>
        <c:scaling>
          <c:orientation val="minMax"/>
        </c:scaling>
        <c:axPos val="l"/>
        <c:delete val="1"/>
        <c:majorTickMark val="out"/>
        <c:minorTickMark val="none"/>
        <c:tickLblPos val="none"/>
        <c:crossAx val="13797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31</xdr:row>
      <xdr:rowOff>28575</xdr:rowOff>
    </xdr:from>
    <xdr:to>
      <xdr:col>1</xdr:col>
      <xdr:colOff>752475</xdr:colOff>
      <xdr:row>31</xdr:row>
      <xdr:rowOff>504825</xdr:rowOff>
    </xdr:to>
    <xdr:pic>
      <xdr:nvPicPr>
        <xdr:cNvPr id="3" name="Subgraph-dickhugh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5" name="Subgraph-orcapitalburea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631632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7" name="Subgraph-2020insofewway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00150" y="898207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9" name="Subgraph-chase_the_hig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1" name="Subgraph-decayingl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3" name="Subgraph-phuocerm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7887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5" name="Subgraph-kibongerawli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00150" y="5838825"/>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7" name="Subgraph-bestwildclip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9" name="Subgraph-captcoronad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1" name="Subgraph-aa_ronneou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3" name="Subgraph-okron8"/>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5" name="Subgraph-kennedyk24"/>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7" name="Subgraph-cmpaug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21031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9" name="Subgraph-benedt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200150" y="4791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1" name="Subgraph-byronstin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200150" y="950595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3" name="Subgraph-diedsuddenly_"/>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5" name="Subgraph-barry31744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7" name="Subgraph-missbeccaben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9" name="Subgraph-negroleaguem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1" name="Subgraph-progressglob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0015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3" name="Subgraph-2a_allda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00150" y="241744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45" name="Subgraph-pdxreal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00150" y="10029825"/>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7" name="Subgraph-larssonrealto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tradedebat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2522220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1" name="Subgraph-oregoncitizen_"/>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00150" y="112395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53" name="Subgraph-eclecticradica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00150" y="741045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5" name="Subgraph-mrs_socialist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7" name="Subgraph-tek_sauc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9" name="Subgraph-jakeguyc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61" name="Subgraph-darealgreglopez"/>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63" name="Subgraph-aaronpoole8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65" name="Subgraph-1markcok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0015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67" name="Subgraph-dannymaran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015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69" name="Subgraph-saylahach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71" name="Subgraph-dc_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73" name="Subgraph-dennisthatsi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75" name="Subgraph-em1liat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015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77" name="Subgraph-glorianel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79" name="Subgraph-joepomplian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203257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81" name="Subgraph-tina67536990"/>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200150" y="10553700"/>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83" name="Subgraph-endofracis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85" name="Subgraph-intm_studen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87" name="Subgraph-rls223140495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89" name="Subgraph-jennife3948165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20015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91" name="Subgraph-keneaker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00150" y="3465195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93" name="Subgraph-khazen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200150" y="6886575"/>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95" name="Subgraph-rondesant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97" name="Subgraph-teamdesant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99" name="Subgraph-madeintheusanj"/>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01" name="Subgraph-milliemine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03" name="Subgraph-izi_kljucan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3727132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05" name="Subgraph-mysportsupdat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200150" y="1107757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07" name="Subgraph-sfmission2"/>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200150" y="16478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09" name="Subgraph-lecheconcoffe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0150" y="3779520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11" name="Subgraph-smithtooti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00150" y="21717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13" name="Subgraph-samfac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15" name="Subgraph-robertjkingsbu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17" name="Subgraph-nypo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19" name="Subgraph-breakingpdx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3989070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21" name="Subgraph-ritchieontrack"/>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200150" y="1160145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23" name="Subgraph-jamescrepe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25" name="Subgraph-thavyxa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40938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27" name="Subgraph-seenadsg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200150" y="12125325"/>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29" name="Subgraph-disableddoct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31" name="Subgraph-galena_whi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33" name="Subgraph-zerocharism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35" name="Subgraph-jazzie65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37" name="Subgraph-minitruearchiv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35578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39" name="Subgraph-on_bicycl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200150" y="12649200"/>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41" name="Subgraph-carissasnewlif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43" name="Subgraph-cardiwithpearl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45" name="Subgraph-kythrawowall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47" name="Subgraph-davidtaple904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565332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49" name="Subgraph-fairleyphot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200150" y="7934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51" name="Subgraph-slavomiravac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53" name="Subgraph-toll_mathew"/>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55" name="Subgraph-suhlab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57" name="Subgraph-gcsaa_n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59" name="Subgraph-coachbal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4827270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61" name="Subgraph-senjeffmerkle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200150" y="3743325"/>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63" name="Subgraph-bucketyboo_9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65" name="Subgraph-anniesong6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67" name="Subgraph-gregormacdonal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69" name="Subgraph-redbuckm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71" name="Subgraph-stumptowngrr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73" name="Subgraph-aquablueloung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5141595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75" name="Subgraph-maxbelousovg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20015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77" name="Subgraph-oregondo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200150" y="32194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79" name="Subgraph-katesattl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81" name="Subgraph-lupus_cha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83" name="Subgraph-ohsubra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85" name="Subgraph-oregonliv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87" name="Subgraph-usdo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89" name="Subgraph-luke_the_duke0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5455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91" name="Subgraph-toonimato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200150" y="13173075"/>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93" name="Subgraph-quigonjen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95" name="Subgraph-markceleste2727"/>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97" name="Subgraph-robotvirg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99" name="Subgraph-shooty_mcboot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01" name="Subgraph-steakfrankhou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03" name="Subgraph-theemsmoll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05" name="Subgraph-greg1667693542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07" name="Subgraph-fauxnameric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09" name="Subgraph-weedlings7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11" name="Subgraph-lisaandem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13" name="Subgraph-ronnyjacksontx"/>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15" name="Subgraph-tinastinnett00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17" name="Subgraph-pdxfanati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19" name="Subgraph-yasha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21" name="Subgraph-w7en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23" name="Subgraph-weatherjef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0150"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25" name="Subgraph-xsandman0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27" name="Subgraph-mehdirhas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29" name="Subgraph-herlihy_f"/>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00150"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31" name="Subgraph-pardonmypa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33" name="Subgraph-naomi_d_harv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55605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35" name="Subgraph-wingsatlas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200150" y="13696950"/>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37" name="Subgraph-rncresear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39" name="Subgraph-collinrug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41" name="Subgraph-kgw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43" name="Subgraph-shaving_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45" name="Subgraph-nothoodlu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47" name="Subgraph-chuckwooler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00150"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49" name="Subgraph-billy_purcel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00150" y="692277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1" name="Subgraph-art_burk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200150" y="42672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53" name="Subgraph-moderna_tx"/>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55" name="Subgraph-alexberens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57" name="Subgraph-mojocub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59" name="Subgraph-robin_shattoc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61" name="Subgraph-stkirsc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263" name="Subgraph-kevinnbas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265" name="Subgraph-mordechaiklomp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200150"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267" name="Subgraph-gentlypres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73418700"/>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9" name="Subgraph-beautiful_str3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200150" y="6362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271" name="Subgraph-trevor009884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273" name="Subgraph-meechiejacob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275" name="Subgraph-babyesko390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277" name="Subgraph-blakjordanbree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279" name="Subgraph-csmoove_sport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281" name="Subgraph-muellershewrot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200150"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283" name="Subgraph-murray_ti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285" name="Subgraph-dedevotesblu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287" name="Subgraph-sawyerhacket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0150"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289" name="Subgraph-vanhopecomed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291" name="Subgraph-meggie_meg2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293" name="Subgraph-foeayem"/>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200150"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295" name="Subgraph-bessbousa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297" name="Subgraph-anmolrightno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299" name="Subgraph-shannoncmallor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301" name="Subgraph-petertaylor_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303" name="Subgraph-alexiislex"/>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305" name="Subgraph-dickmar52"/>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307" name="Subgraph-lakotaman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8337232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309" name="Subgraph-pdxsburning"/>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200150" y="142208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311" name="Subgraph-deonteddj"/>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0150"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313" name="Subgraph-20minprom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0150"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315" name="Subgraph-hannahcrazyhaw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317" name="Subgraph-joannanobanan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200150"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319" name="Subgraph-seiginotora_t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200150"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321" name="Subgraph-kiryussideburn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00150"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323" name="Subgraph-nickfen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325" name="Subgraph-oddswithgop"/>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200150" y="875633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327" name="Subgraph-a21star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200150" y="14744700"/>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329" name="Subgraph-newworldanglo"/>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200150"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331" name="Subgraph-maxmad39388773"/>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200150"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333" name="Subgraph-dutch5205055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335" name="Subgraph-streetfighthar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89658825"/>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37" name="Subgraph-lostdiv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200150" y="1526857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339" name="Subgraph-wadeturnbu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341" name="Subgraph-marypop987"/>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343" name="Subgraph-beelofosho"/>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200150"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345" name="Subgraph-rayterri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347" name="Subgraph-j_mcdonald81"/>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200150"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349" name="Subgraph-lukeroth1015"/>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0150" y="92802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351" name="Subgraph-pdxblak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200150" y="5314950"/>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353" name="Subgraph-nomorefreeway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0150"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355" name="Subgraph-miamidolphin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357" name="Subgraph-quintonmurdo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359" name="Subgraph-sabo_cat16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948975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361" name="Subgraph-hardlee73"/>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200150" y="6000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363" name="Subgraph-oregonso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365" name="Subgraph-jeffmerkley"/>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200150"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367" name="Subgraph-repblumenau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369" name="Subgraph-repbonamic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371" name="Subgraph-tuckercarls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373" name="Subgraph-seanhannit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375" name="Subgraph-janninereid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377" name="Subgraph-mgpforcongres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379" name="Subgraph-henspangled2020"/>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200150"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381" name="Subgraph-goodvibepoliti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00150"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383" name="Subgraph-susan35763565"/>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200150"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385" name="Subgraph-lindas_her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387" name="Subgraph-a_tothe_z_amb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389" name="Subgraph-therealfarl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391" name="Subgraph-ac7ionman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393" name="Subgraph-pdxbizjourna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00150"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395" name="Subgraph-oregoni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397" name="Subgraph-zlorp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399" name="Subgraph-itsbedtime_"/>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401" name="Subgraph-spartyto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403" name="Subgraph-tyleroakle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405" name="Subgraph-italiangirl10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407" name="Subgraph-hunnybadgerm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409" name="Subgraph-kenwelcome00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411" name="Subgraph-msolur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413" name="Subgraph-smilinand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415" name="Subgraph-wintheday84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417" name="Subgraph-fox12orego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200150"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419" name="Subgraph-miavtv"/>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200150"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421" name="Subgraph-kavanah61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106138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423" name="Subgraph-zciwogor"/>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200150" y="8458200"/>
          <a:ext cx="723900" cy="476250"/>
        </a:xfrm>
        <a:prstGeom prst="rect">
          <a:avLst/>
        </a:prstGeom>
        <a:ln>
          <a:noFill/>
        </a:ln>
      </xdr:spPr>
    </xdr:pic>
    <xdr:clientData/>
  </xdr:twoCellAnchor>
  <xdr:twoCellAnchor editAs="oneCell">
    <xdr:from>
      <xdr:col>1</xdr:col>
      <xdr:colOff>28575</xdr:colOff>
      <xdr:row>213</xdr:row>
      <xdr:rowOff>28575</xdr:rowOff>
    </xdr:from>
    <xdr:to>
      <xdr:col>1</xdr:col>
      <xdr:colOff>752475</xdr:colOff>
      <xdr:row>213</xdr:row>
      <xdr:rowOff>504825</xdr:rowOff>
    </xdr:to>
    <xdr:pic>
      <xdr:nvPicPr>
        <xdr:cNvPr id="425" name="Subgraph-dwallacewell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11137700"/>
          <a:ext cx="723900" cy="476250"/>
        </a:xfrm>
        <a:prstGeom prst="rect">
          <a:avLst/>
        </a:prstGeom>
        <a:ln>
          <a:noFill/>
        </a:ln>
      </xdr:spPr>
    </xdr:pic>
    <xdr:clientData/>
  </xdr:twoCellAnchor>
  <xdr:twoCellAnchor editAs="oneCell">
    <xdr:from>
      <xdr:col>1</xdr:col>
      <xdr:colOff>28575</xdr:colOff>
      <xdr:row>214</xdr:row>
      <xdr:rowOff>28575</xdr:rowOff>
    </xdr:from>
    <xdr:to>
      <xdr:col>1</xdr:col>
      <xdr:colOff>752475</xdr:colOff>
      <xdr:row>214</xdr:row>
      <xdr:rowOff>504825</xdr:rowOff>
    </xdr:to>
    <xdr:pic>
      <xdr:nvPicPr>
        <xdr:cNvPr id="427" name="Subgraph-tinselfir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111661575"/>
          <a:ext cx="723900" cy="476250"/>
        </a:xfrm>
        <a:prstGeom prst="rect">
          <a:avLst/>
        </a:prstGeom>
        <a:ln>
          <a:noFill/>
        </a:ln>
      </xdr:spPr>
    </xdr:pic>
    <xdr:clientData/>
  </xdr:twoCellAnchor>
  <xdr:twoCellAnchor editAs="oneCell">
    <xdr:from>
      <xdr:col>1</xdr:col>
      <xdr:colOff>28575</xdr:colOff>
      <xdr:row>215</xdr:row>
      <xdr:rowOff>28575</xdr:rowOff>
    </xdr:from>
    <xdr:to>
      <xdr:col>1</xdr:col>
      <xdr:colOff>752475</xdr:colOff>
      <xdr:row>215</xdr:row>
      <xdr:rowOff>504825</xdr:rowOff>
    </xdr:to>
    <xdr:pic>
      <xdr:nvPicPr>
        <xdr:cNvPr id="429" name="Subgraph-cobraeconomic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200150" y="112185450"/>
          <a:ext cx="723900" cy="476250"/>
        </a:xfrm>
        <a:prstGeom prst="rect">
          <a:avLst/>
        </a:prstGeom>
        <a:ln>
          <a:noFill/>
        </a:ln>
      </xdr:spPr>
    </xdr:pic>
    <xdr:clientData/>
  </xdr:twoCellAnchor>
  <xdr:twoCellAnchor editAs="oneCell">
    <xdr:from>
      <xdr:col>1</xdr:col>
      <xdr:colOff>28575</xdr:colOff>
      <xdr:row>216</xdr:row>
      <xdr:rowOff>28575</xdr:rowOff>
    </xdr:from>
    <xdr:to>
      <xdr:col>1</xdr:col>
      <xdr:colOff>752475</xdr:colOff>
      <xdr:row>216</xdr:row>
      <xdr:rowOff>504825</xdr:rowOff>
    </xdr:to>
    <xdr:pic>
      <xdr:nvPicPr>
        <xdr:cNvPr id="431" name="Subgraph-seattletime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2709325"/>
          <a:ext cx="723900" cy="476250"/>
        </a:xfrm>
        <a:prstGeom prst="rect">
          <a:avLst/>
        </a:prstGeom>
        <a:ln>
          <a:noFill/>
        </a:ln>
      </xdr:spPr>
    </xdr:pic>
    <xdr:clientData/>
  </xdr:twoCellAnchor>
  <xdr:twoCellAnchor editAs="oneCell">
    <xdr:from>
      <xdr:col>1</xdr:col>
      <xdr:colOff>28575</xdr:colOff>
      <xdr:row>217</xdr:row>
      <xdr:rowOff>28575</xdr:rowOff>
    </xdr:from>
    <xdr:to>
      <xdr:col>1</xdr:col>
      <xdr:colOff>752475</xdr:colOff>
      <xdr:row>217</xdr:row>
      <xdr:rowOff>504825</xdr:rowOff>
    </xdr:to>
    <xdr:pic>
      <xdr:nvPicPr>
        <xdr:cNvPr id="433" name="Subgraph-lesnara2"/>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3233200"/>
          <a:ext cx="723900" cy="476250"/>
        </a:xfrm>
        <a:prstGeom prst="rect">
          <a:avLst/>
        </a:prstGeom>
        <a:ln>
          <a:noFill/>
        </a:ln>
      </xdr:spPr>
    </xdr:pic>
    <xdr:clientData/>
  </xdr:twoCellAnchor>
  <xdr:twoCellAnchor editAs="oneCell">
    <xdr:from>
      <xdr:col>1</xdr:col>
      <xdr:colOff>28575</xdr:colOff>
      <xdr:row>218</xdr:row>
      <xdr:rowOff>28575</xdr:rowOff>
    </xdr:from>
    <xdr:to>
      <xdr:col>1</xdr:col>
      <xdr:colOff>752475</xdr:colOff>
      <xdr:row>218</xdr:row>
      <xdr:rowOff>504825</xdr:rowOff>
    </xdr:to>
    <xdr:pic>
      <xdr:nvPicPr>
        <xdr:cNvPr id="435" name="Subgraph-nickroj80278654"/>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3757075"/>
          <a:ext cx="723900" cy="476250"/>
        </a:xfrm>
        <a:prstGeom prst="rect">
          <a:avLst/>
        </a:prstGeom>
        <a:ln>
          <a:noFill/>
        </a:ln>
      </xdr:spPr>
    </xdr:pic>
    <xdr:clientData/>
  </xdr:twoCellAnchor>
  <xdr:twoCellAnchor editAs="oneCell">
    <xdr:from>
      <xdr:col>1</xdr:col>
      <xdr:colOff>28575</xdr:colOff>
      <xdr:row>219</xdr:row>
      <xdr:rowOff>28575</xdr:rowOff>
    </xdr:from>
    <xdr:to>
      <xdr:col>1</xdr:col>
      <xdr:colOff>752475</xdr:colOff>
      <xdr:row>219</xdr:row>
      <xdr:rowOff>504825</xdr:rowOff>
    </xdr:to>
    <xdr:pic>
      <xdr:nvPicPr>
        <xdr:cNvPr id="437" name="Subgraph-sampack00679914"/>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4280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1" refreshedBy="Marc Smith" refreshedVersion="8">
  <cacheSource type="worksheet">
    <worksheetSource ref="A2:BU14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MentionsInReplyTo"/>
        <s v="Replies to"/>
        <s v="Tweet"/>
        <s v="Quote"/>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8">
        <s v="orleg orpol"/>
        <m/>
        <s v="baonpdx"/>
        <s v="realtor realtorlife realestate realestateagent exprealty mrexp grinding"/>
        <s v="spoileralert bitcoin worldeconomicforum depopulation"/>
        <s v="joebidenisawarcriminal"/>
        <s v="mentalhealthsupport"/>
        <s v="maui lahaina hawaiifire"/>
        <s v="lupuschat"/>
        <s v="pnw tornado portland"/>
        <s v="ceasefirenow"/>
        <s v="supremecourt"/>
        <s v="climatecrisis"/>
        <s v="multnomahcounty kingcountywa washingtoncountyoregon"/>
        <s v="mcas chronicillness"/>
        <s v="nomorefreeways"/>
        <s v="dolphins"/>
        <s v="orpol orleg"/>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1">
        <d v="2024-01-26T02:53:44.000"/>
        <d v="2023-04-16T22:45:02.000"/>
        <d v="2024-01-26T19:22:33.000"/>
        <d v="2024-01-22T18:42:29.000"/>
        <d v="2024-01-28T20:39:15.000"/>
        <d v="2024-01-03T15:40:11.000"/>
        <d v="2024-01-23T04:09:05.000"/>
        <d v="2024-01-22T15:37:22.000"/>
        <d v="2024-01-21T16:07:49.000"/>
        <d v="2024-01-02T23:35:12.000"/>
        <d v="2023-05-26T18:36:37.000"/>
        <d v="2024-01-27T18:40:47.000"/>
        <d v="2024-01-22T17:23:32.000"/>
        <d v="2023-08-12T08:12:39.000"/>
        <d v="2023-08-05T18:24:34.000"/>
        <d v="2023-01-04T03:42:14.000"/>
        <d v="2023-12-22T02:12:24.000"/>
        <d v="2023-04-13T22:05:10.000"/>
        <d v="2024-01-24T22:34:02.000"/>
        <d v="2024-01-26T10:31:09.000"/>
        <d v="2023-02-13T05:46:43.000"/>
        <d v="2023-12-03T06:29:47.000"/>
        <d v="2024-01-11T01:46:17.000"/>
        <d v="2023-10-19T02:28:13.000"/>
        <d v="2023-12-08T18:06:37.000"/>
        <d v="2023-06-18T18:34:15.000"/>
        <d v="2023-10-16T04:16:45.000"/>
        <d v="2024-01-23T19:55:44.000"/>
        <d v="2024-01-23T19:47:43.000"/>
        <d v="2024-01-27T19:25:42.000"/>
        <d v="2024-01-23T17:04:34.000"/>
        <d v="2024-01-24T01:43:03.000"/>
        <d v="2023-09-24T23:48:49.000"/>
        <d v="2024-01-25T14:58:27.000"/>
        <d v="2023-03-08T00:21:05.000"/>
        <d v="2024-01-28T20:25:38.000"/>
        <d v="2024-01-25T04:12:42.000"/>
        <d v="2024-01-27T06:52:38.000"/>
        <d v="2023-10-10T18:51:13.000"/>
        <d v="2023-07-04T20:46:58.000"/>
        <d v="2023-11-21T22:53:45.000"/>
        <d v="2023-12-16T00:01:46.000"/>
        <d v="2023-03-08T02:07:40.000"/>
        <d v="2023-08-12T02:45:07.000"/>
        <d v="2024-01-25T23:04:57.000"/>
        <d v="2024-01-28T07:36:02.000"/>
        <d v="2023-03-13T19:15:12.000"/>
        <d v="2024-01-29T06:44:36.000"/>
        <d v="2024-01-29T06:47:19.000"/>
        <d v="2024-01-21T21:14:00.000"/>
        <d v="2023-12-15T23:04:53.000"/>
        <d v="2023-11-17T23:47:34.000"/>
        <d v="2024-01-27T19:01:33.000"/>
        <d v="2023-10-28T02:25:46.000"/>
        <d v="2024-01-24T15:02:59.000"/>
        <d v="2023-02-19T23:04:42.000"/>
        <d v="2024-01-22T15:44:34.000"/>
        <d v="2023-02-26T03:31:42.000"/>
        <d v="2024-01-24T21:23:54.000"/>
        <d v="2023-11-10T07:25:36.000"/>
        <d v="2023-04-05T18:00:42.000"/>
        <d v="2023-10-12T17:20:48.000"/>
        <d v="2024-01-26T03:31:42.000"/>
        <d v="2023-08-14T05:35:36.000"/>
        <d v="2023-11-06T14:44:33.000"/>
        <d v="2023-11-06T14:44:20.000"/>
        <d v="2024-01-28T21:32:10.000"/>
        <d v="2024-01-28T22:00:45.000"/>
        <d v="2024-01-21T16:43:02.000"/>
        <d v="2023-07-17T06:28:06.000"/>
        <d v="2023-05-12T19:20:01.000"/>
        <d v="2023-05-12T19:38:49.000"/>
        <d v="2023-07-26T15:10:52.000"/>
        <d v="2023-05-08T01:22:16.000"/>
        <d v="2024-01-07T17:10:06.000"/>
        <d v="2024-01-20T08:15:15.000"/>
        <d v="2024-01-24T20:43:04.000"/>
        <d v="2024-01-25T01:07:04.000"/>
        <d v="2024-01-22T15:41:00.000"/>
        <d v="2024-01-22T19:04:52.000"/>
        <d v="2023-04-05T14:18:24.000"/>
        <d v="2023-04-28T19:48:55.000"/>
        <d v="2023-09-07T14:39:16.000"/>
        <d v="2024-01-23T18:45:54.000"/>
        <d v="2024-01-17T23:09:08.000"/>
        <d v="2023-03-07T11:03:17.000"/>
        <d v="2023-05-23T19:07:02.000"/>
        <d v="2023-03-24T20:32:01.000"/>
        <d v="2023-11-21T23:40:09.000"/>
        <d v="2023-02-11T20:47:51.000"/>
        <d v="2024-01-28T17:26:40.000"/>
        <d v="2023-04-28T18:57:35.000"/>
        <d v="2024-01-28T19:43:55.000"/>
        <d v="2023-10-29T22:15:05.000"/>
        <d v="2023-08-19T15:59:31.000"/>
        <d v="2023-11-03T19:26:21.000"/>
        <d v="2023-01-11T02:28:03.000"/>
        <d v="2023-01-02T23:48:36.000"/>
        <d v="2023-01-16T23:47:43.000"/>
        <d v="2023-01-16T23:41:45.000"/>
        <d v="2023-02-12T00:11:14.000"/>
        <d v="2023-08-10T23:17:28.000"/>
        <d v="2023-02-08T00:01:54.000"/>
        <d v="2023-08-16T02:57:43.000"/>
        <d v="2023-06-12T16:22:16.000"/>
        <d v="2023-06-03T04:21:57.000"/>
        <d v="2024-01-22T03:33:18.000"/>
        <d v="2024-01-25T01:07:15.000"/>
        <d v="2023-09-05T00:44:57.000"/>
        <d v="2023-10-07T18:51:56.000"/>
        <d v="2023-10-07T18:22:23.000"/>
        <d v="2023-01-21T21:25:29.000"/>
        <d v="2023-04-15T01:08:59.000"/>
        <d v="2023-10-15T23:45:19.000"/>
        <d v="2023-05-26T00:04:17.000"/>
        <d v="2023-02-06T14:47:37.000"/>
        <d v="2023-11-14T10:47:31.000"/>
        <d v="2023-03-11T03:12:44.000"/>
        <d v="2023-12-17T01:30:03.000"/>
        <d v="2023-10-29T19:44:50.000"/>
        <d v="2024-01-25T11:31:58.000"/>
        <d v="2023-02-10T22:16:32.000"/>
        <d v="2023-02-11T23:14:49.000"/>
        <d v="2024-01-28T06:20:44.000"/>
        <d v="2024-01-24T13:34:52.000"/>
        <d v="2024-01-27T20:00:27.000"/>
        <d v="2024-01-27T06:00:29.000"/>
        <d v="2024-01-26T22:30:09.000"/>
        <d v="2024-01-22T04:05:03.000"/>
        <d v="2024-01-02T20:45:09.000"/>
        <d v="2024-01-23T04:36:41.000"/>
        <d v="2024-01-29T14:05:03.000"/>
        <d v="2023-08-13T22:27:23.000"/>
        <d v="2023-10-01T14:21:06.000"/>
        <d v="2023-02-10T01:27:34.000"/>
        <d v="2023-08-07T23:32:52.000"/>
        <d v="2024-01-22T00:00:06.000"/>
        <d v="2023-10-26T13:58:22.000"/>
        <d v="2023-10-26T16:54:04.000"/>
        <d v="2024-01-11T14:59:19.000"/>
        <d v="2023-07-30T17:41:3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2T23:48:36.000" endDate="2024-01-29T14:05:03.000"/>
        <groupItems count="26">
          <s v="&lt;1/2/2023"/>
          <s v="12 AM"/>
          <s v="1 AM"/>
          <s v="2 AM"/>
          <s v="3 AM"/>
          <s v="4 AM"/>
          <s v="5 AM"/>
          <s v="6 AM"/>
          <s v="7 AM"/>
          <s v="8 AM"/>
          <s v="9 AM"/>
          <s v="10 AM"/>
          <s v="11 AM"/>
          <s v="12 PM"/>
          <s v="1 PM"/>
          <s v="2 PM"/>
          <s v="3 PM"/>
          <s v="4 PM"/>
          <s v="5 PM"/>
          <s v="6 PM"/>
          <s v="7 PM"/>
          <s v="8 PM"/>
          <s v="9 PM"/>
          <s v="10 PM"/>
          <s v="11 PM"/>
          <s v="&gt;1/29/2024"/>
        </groupItems>
      </fieldGroup>
    </cacheField>
    <cacheField name="Days (Tweet Date (UTC))" databaseField="0">
      <sharedItems containsMixedTypes="0" count="0"/>
      <fieldGroup base="31">
        <rangePr groupBy="days" autoEnd="1" autoStart="1" startDate="2023-01-02T23:48:36.000" endDate="2024-01-29T14:05:03.000"/>
        <groupItems count="368">
          <s v="&lt;1/2/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9/2024"/>
        </groupItems>
      </fieldGroup>
    </cacheField>
    <cacheField name="Months (Tweet Date (UTC))" databaseField="0">
      <sharedItems containsMixedTypes="0" count="0"/>
      <fieldGroup base="31">
        <rangePr groupBy="months" autoEnd="1" autoStart="1" startDate="2023-01-02T23:48:36.000" endDate="2024-01-29T14:05:03.000"/>
        <groupItems count="14">
          <s v="&lt;1/2/2023"/>
          <s v="Jan"/>
          <s v="Feb"/>
          <s v="Mar"/>
          <s v="Apr"/>
          <s v="May"/>
          <s v="Jun"/>
          <s v="Jul"/>
          <s v="Aug"/>
          <s v="Sep"/>
          <s v="Oct"/>
          <s v="Nov"/>
          <s v="Dec"/>
          <s v="&gt;1/29/2024"/>
        </groupItems>
      </fieldGroup>
    </cacheField>
    <cacheField name="Years (Tweet Date (UTC))" databaseField="0">
      <sharedItems containsMixedTypes="0" count="0"/>
      <fieldGroup base="31">
        <rangePr groupBy="years" autoEnd="1" autoStart="1" startDate="2023-01-02T23:48:36.000" endDate="2024-01-29T14:05:03.000"/>
        <groupItems count="4">
          <s v="&lt;1/2/2023"/>
          <s v="2023"/>
          <s v="2024"/>
          <s v="&gt;1/29/2024"/>
        </groupItems>
      </fieldGroup>
    </cacheField>
  </cacheFields>
  <extLst>
    <ext xmlns:x14="http://schemas.microsoft.com/office/spreadsheetml/2009/9/main" uri="{725AE2AE-9491-48be-B2B4-4EB974FC3084}">
      <x14:pivotCacheDefinition pivotCacheId="1057376167"/>
    </ext>
  </extLst>
</pivotCacheDefinition>
</file>

<file path=xl/pivotCache/pivotCacheRecords1.xml><?xml version="1.0" encoding="utf-8"?>
<pivotCacheRecords xmlns="http://schemas.openxmlformats.org/spreadsheetml/2006/main" xmlns:r="http://schemas.openxmlformats.org/officeDocument/2006/relationships" count="141">
  <r>
    <s v="dickhughes"/>
    <s v="orcapitalbureau"/>
    <m/>
    <m/>
    <m/>
    <m/>
    <m/>
    <m/>
    <m/>
    <m/>
    <s v="No"/>
    <n v="3"/>
    <m/>
    <m/>
    <x v="0"/>
    <d v="2024-01-26T02:53:44.000"/>
    <s v="From a new think tank to a needed toll administrator, here are the latest moves and wannabes. &quot;Oregon insiders: Who's who in and around state government&quot; #ORleg #ORpol  https://t.co/W2X6n4sjbN via @ORCapitalBureau"/>
    <n v="0"/>
    <n v="5"/>
    <n v="0"/>
    <n v="0"/>
    <n v="432"/>
    <x v="0"/>
    <s v="https://www.oregoncapitalinsider.com/news/oregon-insiders-whos-who-in-and-around-state-government/article_787328d4-bbde-11ee-b340-8b6c5845b41d.html?utm_medium=social&amp;utm_source=twitter&amp;utm_campaign=user-share"/>
    <s v="oregoncapitalinsider.com"/>
    <s v="orcapitalbureau"/>
    <m/>
    <m/>
    <s v="Twitter Web App"/>
    <s v="en"/>
    <s v="https://twitter.com/dickhughes/status/1750713601894003103"/>
    <x v="0"/>
    <d v="2024-01-26T00:00:00.000"/>
    <s v="02:53:44"/>
    <b v="0"/>
    <m/>
    <m/>
    <m/>
    <m/>
    <m/>
    <m/>
    <m/>
    <m/>
    <m/>
    <m/>
    <m/>
    <m/>
    <s v="https://pbs.twimg.com/profile_images/59386571/DickHughes_normal.jpg"/>
    <s v="1750713601894003103"/>
    <s v="1750713601894003103"/>
    <m/>
    <s v=""/>
    <s v=""/>
    <s v=""/>
    <s v="1750713601894003103"/>
    <n v="16121482"/>
    <m/>
    <m/>
    <m/>
    <m/>
    <m/>
    <n v="1"/>
    <s v="64"/>
    <s v="64"/>
    <n v="0"/>
    <n v="0"/>
    <n v="2"/>
    <n v="6.666666666666667"/>
    <n v="0"/>
    <n v="0"/>
    <n v="14"/>
    <n v="46.666666666666664"/>
    <n v="30"/>
  </r>
  <r>
    <s v="2020insofewways"/>
    <s v="chase_the_high"/>
    <m/>
    <m/>
    <m/>
    <m/>
    <m/>
    <m/>
    <m/>
    <m/>
    <s v="No"/>
    <n v="4"/>
    <m/>
    <m/>
    <x v="1"/>
    <d v="2023-04-16T22:45:02.000"/>
    <s v="@DecayingLA @chase_the_high Looking at history long before computers or AI, you see the death toll trending data from the crusades. https://t.co/ml66bgk1Rv"/>
    <n v="0"/>
    <n v="0"/>
    <n v="1"/>
    <n v="0"/>
    <n v="36"/>
    <x v="1"/>
    <m/>
    <m/>
    <s v="decayingla chase_the_high"/>
    <s v="https://t.co/ml66bgk1Rv https://t.co/ml66bgk1Rv https://pbs.twimg.com/media/Ft3sTYhaAAA0pI6.jpg https://pbs.twimg.com/media/Ft3sTZoaUAE_R6I.jpg"/>
    <s v="photo photo"/>
    <s v="Twitter for iPhone"/>
    <s v="en"/>
    <s v="https://twitter.com/2020insofewways/status/1647732862085660673"/>
    <x v="1"/>
    <d v="2023-04-16T00:00:00.000"/>
    <s v="22:45:02"/>
    <b v="0"/>
    <s v="-122.9045126,45.466363 _x000a_-122.9045126,45.516305 _x000a_-122.839114,45.516305 _x000a_-122.839114,45.466363 _x000a_-122.9045126,45.466363"/>
    <s v="United States"/>
    <s v="US"/>
    <s v="Aloha, OR"/>
    <s v="3ff03b9d1ce7c69f"/>
    <s v="Aloha"/>
    <s v="city"/>
    <s v="3_1647732856431706112 3_1647732856729522177"/>
    <m/>
    <m/>
    <m/>
    <m/>
    <s v="https://pbs.twimg.com/media/Ft3sTYhaAAA0pI6.jpg"/>
    <s v="1647732862085660673"/>
    <s v="1647657442187067395"/>
    <s v="1552351809498320896"/>
    <s v="1647695639390871552"/>
    <s v=""/>
    <s v=""/>
    <s v="1647695639390871552"/>
    <n v="2303676979"/>
    <m/>
    <m/>
    <m/>
    <m/>
    <m/>
    <n v="1"/>
    <s v="23"/>
    <s v="23"/>
    <m/>
    <m/>
    <m/>
    <m/>
    <m/>
    <m/>
    <m/>
    <m/>
    <m/>
  </r>
  <r>
    <s v="phuocerman"/>
    <s v="phuocerman"/>
    <m/>
    <m/>
    <m/>
    <m/>
    <m/>
    <m/>
    <m/>
    <m/>
    <s v="No"/>
    <n v="6"/>
    <m/>
    <m/>
    <x v="2"/>
    <d v="2024-01-26T19:22:33.000"/>
    <s v="SC: &quot;Obviously we love this environment (Providence Park), but the turf does take a toll, you know.&quot;_x000a__x000a_&quot;The new ownership has come in, been really vocal &amp;amp; adamant about that being a priority and they're getting things done which is amazing to hear and be a part of.&quot;_x000a__x000a_#BAONPDX"/>
    <n v="0"/>
    <n v="15"/>
    <n v="0"/>
    <n v="0"/>
    <n v="829"/>
    <x v="2"/>
    <m/>
    <m/>
    <m/>
    <m/>
    <m/>
    <s v="Twitter Web App"/>
    <s v="en"/>
    <s v="https://twitter.com/phuocerman/status/1750962446632952121"/>
    <x v="2"/>
    <d v="2024-01-26T00:00:00.000"/>
    <s v="19:22:33"/>
    <m/>
    <m/>
    <m/>
    <m/>
    <m/>
    <m/>
    <m/>
    <m/>
    <m/>
    <m/>
    <m/>
    <m/>
    <m/>
    <s v="https://pbs.twimg.com/profile_images/1614771517572943873/1w3x1ejV_normal.jpg"/>
    <s v="1750962446632952121"/>
    <s v="1750960607720054837"/>
    <s v="1391199295"/>
    <s v="1750960607720054837"/>
    <s v=""/>
    <s v=""/>
    <s v="1750960607720054837"/>
    <n v="1391199295"/>
    <m/>
    <m/>
    <m/>
    <m/>
    <m/>
    <n v="1"/>
    <s v="1"/>
    <s v="1"/>
    <n v="3"/>
    <n v="6.122448979591836"/>
    <n v="2"/>
    <n v="4.081632653061225"/>
    <n v="0"/>
    <n v="0"/>
    <n v="19"/>
    <n v="38.775510204081634"/>
    <n v="49"/>
  </r>
  <r>
    <s v="kibongerawlins"/>
    <s v="bestwildclips"/>
    <m/>
    <m/>
    <m/>
    <m/>
    <m/>
    <m/>
    <m/>
    <m/>
    <s v="No"/>
    <n v="7"/>
    <m/>
    <m/>
    <x v="1"/>
    <d v="2024-01-22T18:42:29.000"/>
    <s v="@kennedyk24 @okron8 @AA_Ronneous @CaptCoronado @bestwildclips A lot fam people get drunk and accidentally kill people all the time. Look at the death toll in boxing a combat sport with actual medical staff on site."/>
    <n v="0"/>
    <n v="0"/>
    <n v="1"/>
    <n v="0"/>
    <n v="38"/>
    <x v="1"/>
    <m/>
    <m/>
    <s v="kennedyk24 okron8 aa_ronneous captcoronado bestwildclips"/>
    <m/>
    <m/>
    <s v="Twitter for iPhone"/>
    <s v="en"/>
    <s v="https://twitter.com/kibongerawlins/status/1749502813778882575"/>
    <x v="3"/>
    <d v="2024-01-22T00:00:00.000"/>
    <s v="18:42:29"/>
    <m/>
    <m/>
    <m/>
    <m/>
    <m/>
    <m/>
    <m/>
    <m/>
    <m/>
    <m/>
    <m/>
    <m/>
    <m/>
    <s v="https://pbs.twimg.com/profile_images/1410598537373442062/N1DQR-ZW_normal.jpg"/>
    <s v="1749502813778882575"/>
    <s v="1749175823658025394"/>
    <s v="72193329"/>
    <s v="1749478453596782753"/>
    <s v=""/>
    <s v=""/>
    <s v="1749478453596782753"/>
    <s v="1022915305834668033"/>
    <m/>
    <m/>
    <m/>
    <m/>
    <m/>
    <n v="1"/>
    <s v="6"/>
    <s v="6"/>
    <m/>
    <m/>
    <m/>
    <m/>
    <m/>
    <m/>
    <m/>
    <m/>
    <m/>
  </r>
  <r>
    <s v="cmpaugh"/>
    <s v="benedtl"/>
    <m/>
    <m/>
    <m/>
    <m/>
    <m/>
    <m/>
    <m/>
    <m/>
    <s v="No"/>
    <n v="12"/>
    <m/>
    <m/>
    <x v="2"/>
    <d v="2024-01-28T20:39:15.000"/>
    <s v="@benedtl Toll roads and congestion fees are about keeping the lower-and-middle classes off the streets so the wealthy have shorter commute times."/>
    <n v="0"/>
    <n v="3"/>
    <n v="0"/>
    <n v="0"/>
    <n v="14"/>
    <x v="1"/>
    <m/>
    <m/>
    <s v="benedtl"/>
    <m/>
    <m/>
    <s v="Twitter for iPhone"/>
    <s v="en"/>
    <s v="https://twitter.com/cmpaugh/status/1751706524765069614"/>
    <x v="4"/>
    <d v="2024-01-28T00:00:00.000"/>
    <s v="20:39:15"/>
    <m/>
    <m/>
    <m/>
    <m/>
    <m/>
    <m/>
    <m/>
    <m/>
    <m/>
    <m/>
    <m/>
    <m/>
    <m/>
    <s v="https://pbs.twimg.com/profile_images/1692720763089170432/Vvzvw93K_normal.jpg"/>
    <s v="1751706524765069614"/>
    <s v="1751658059280318776"/>
    <s v="49103785"/>
    <s v="1751658059280318776"/>
    <s v=""/>
    <s v=""/>
    <s v="1751658059280318776"/>
    <n v="17674946"/>
    <m/>
    <m/>
    <m/>
    <m/>
    <m/>
    <n v="1"/>
    <s v="2"/>
    <s v="2"/>
    <n v="1"/>
    <n v="4.166666666666667"/>
    <n v="2"/>
    <n v="8.333333333333334"/>
    <n v="0"/>
    <n v="0"/>
    <n v="11"/>
    <n v="45.833333333333336"/>
    <n v="24"/>
  </r>
  <r>
    <s v="byronstine"/>
    <s v="diedsuddenly_"/>
    <m/>
    <m/>
    <m/>
    <m/>
    <m/>
    <m/>
    <m/>
    <m/>
    <s v="No"/>
    <n v="13"/>
    <m/>
    <m/>
    <x v="1"/>
    <d v="2024-01-03T15:40:11.000"/>
    <s v="@Barry317446 @DiedSuddenly_ Yes. There are some doctors who gave a timeframe of 3 to 5 years where we will see a massive aggregate death toll rise because of a certain new &quot;therapeutic.&quot; We’re at about that timeframe. One doctor I saw speak said he did the math and he's seeing the numbers rise already."/>
    <n v="3"/>
    <n v="11"/>
    <n v="3"/>
    <n v="0"/>
    <n v="1547"/>
    <x v="1"/>
    <m/>
    <m/>
    <s v="barry317446 diedsuddenly_"/>
    <m/>
    <m/>
    <s v="Twitter for iPhone"/>
    <s v="en"/>
    <s v="https://twitter.com/byronstine/status/1742571564724564246"/>
    <x v="5"/>
    <d v="2024-01-03T00:00:00.000"/>
    <s v="15:40:11"/>
    <m/>
    <s v="-122.7900653,45.421863 _x000a_-122.7900653,45.6509405 _x000a_-122.471751,45.6509405 _x000a_-122.471751,45.421863 _x000a_-122.7900653,45.421863"/>
    <s v="United States"/>
    <s v="US"/>
    <s v="Portland, OR"/>
    <s v="ac88a4f17a51c7fc"/>
    <s v="Portland"/>
    <s v="city"/>
    <m/>
    <m/>
    <m/>
    <m/>
    <m/>
    <s v="https://pbs.twimg.com/profile_images/1451946612788383755/nXpcsSb4_normal.png"/>
    <s v="1742571564724564246"/>
    <s v="1742354468312867322"/>
    <s v="1731040528722960384"/>
    <s v="1742357479638655014"/>
    <s v=""/>
    <s v=""/>
    <s v="1742357479638655014"/>
    <s v="1451946534979788802"/>
    <m/>
    <m/>
    <m/>
    <m/>
    <m/>
    <n v="1"/>
    <s v="22"/>
    <s v="22"/>
    <m/>
    <m/>
    <m/>
    <m/>
    <m/>
    <m/>
    <m/>
    <m/>
    <m/>
  </r>
  <r>
    <s v="missbeccabenz"/>
    <s v="negroleagueman"/>
    <m/>
    <m/>
    <m/>
    <m/>
    <m/>
    <m/>
    <m/>
    <m/>
    <s v="No"/>
    <n v="15"/>
    <m/>
    <m/>
    <x v="2"/>
    <d v="2024-01-23T04:09:05.000"/>
    <s v="@NegroLeagueMan I'm always struck by how much he aged during the ten years he played for the Dodgers, which shows the tremendous toll those years took on him. I can't imagine the mental strength and discipline it took for him to not retaliate against the racism he dealt with every day."/>
    <n v="0"/>
    <n v="1"/>
    <n v="0"/>
    <n v="0"/>
    <n v="39"/>
    <x v="1"/>
    <m/>
    <m/>
    <s v="negroleagueman"/>
    <m/>
    <m/>
    <s v="Twitter Web App"/>
    <s v="en"/>
    <s v="https://twitter.com/missbeccabenz/status/1749645401077276721"/>
    <x v="6"/>
    <d v="2024-01-23T00:00:00.000"/>
    <s v="04:09:05"/>
    <m/>
    <m/>
    <m/>
    <m/>
    <m/>
    <m/>
    <m/>
    <m/>
    <m/>
    <m/>
    <m/>
    <m/>
    <m/>
    <s v="https://pbs.twimg.com/profile_images/839986484648194048/DVzAdvFW_normal.jpg"/>
    <s v="1749645401077276721"/>
    <s v="1749634352802156903"/>
    <s v="216116121"/>
    <s v="1749634352802156903"/>
    <s v=""/>
    <s v=""/>
    <s v="1749634352802156903"/>
    <n v="2786420790"/>
    <m/>
    <m/>
    <m/>
    <m/>
    <m/>
    <n v="1"/>
    <s v="63"/>
    <s v="63"/>
    <n v="0"/>
    <n v="0"/>
    <n v="4"/>
    <n v="7.8431372549019605"/>
    <n v="0"/>
    <n v="0"/>
    <n v="22"/>
    <n v="43.13725490196079"/>
    <n v="51"/>
  </r>
  <r>
    <s v="progressglobe"/>
    <s v="progressglobe"/>
    <m/>
    <m/>
    <m/>
    <m/>
    <m/>
    <m/>
    <m/>
    <m/>
    <s v="No"/>
    <n v="16"/>
    <m/>
    <m/>
    <x v="3"/>
    <d v="2024-01-22T15:37:22.000"/>
    <s v="Palestinian death toll in Gaza surpasses 25,000 while Israel announces the death of another hostage https://t.co/YrmPNysmFu"/>
    <n v="0"/>
    <n v="0"/>
    <n v="0"/>
    <n v="0"/>
    <n v="3"/>
    <x v="1"/>
    <s v="https://apnews.com/article/israel-hamas-war-news-01-21-2024-02caafa092668ecc7ff122229c166807"/>
    <s v="apnews.com"/>
    <m/>
    <m/>
    <m/>
    <s v="Buffer"/>
    <s v="en"/>
    <s v="https://twitter.com/progressglobe/status/1749456226981695887"/>
    <x v="7"/>
    <d v="2024-01-22T00:00:00.000"/>
    <s v="15:37:22"/>
    <b v="0"/>
    <m/>
    <m/>
    <m/>
    <m/>
    <m/>
    <m/>
    <m/>
    <m/>
    <m/>
    <m/>
    <m/>
    <m/>
    <s v="https://pbs.twimg.com/profile_images/1028322881057382400/YNyPYg4b_normal.jpg"/>
    <s v="1749456226981695887"/>
    <s v="1749456226981695887"/>
    <m/>
    <s v=""/>
    <s v=""/>
    <s v=""/>
    <s v="1749456226981695887"/>
    <n v="705314388"/>
    <m/>
    <m/>
    <m/>
    <m/>
    <m/>
    <n v="2"/>
    <s v="1"/>
    <s v="1"/>
    <n v="0"/>
    <n v="0"/>
    <n v="4"/>
    <n v="25"/>
    <n v="0"/>
    <n v="0"/>
    <n v="8"/>
    <n v="50"/>
    <n v="16"/>
  </r>
  <r>
    <s v="progressglobe"/>
    <s v="progressglobe"/>
    <m/>
    <m/>
    <m/>
    <m/>
    <m/>
    <m/>
    <m/>
    <m/>
    <s v="No"/>
    <n v="17"/>
    <m/>
    <m/>
    <x v="3"/>
    <d v="2024-01-21T16:07:49.000"/>
    <s v="Death toll in Gaza surpasses 25,000 as Israel steps up attacks https://t.co/NFD5HRQOQc"/>
    <n v="0"/>
    <n v="0"/>
    <n v="0"/>
    <n v="0"/>
    <n v="1"/>
    <x v="1"/>
    <s v="https://www.youtube.com/watch?v=oVWDz6HzozI"/>
    <s v="youtube.com"/>
    <m/>
    <m/>
    <m/>
    <s v="Buffer"/>
    <s v="en"/>
    <s v="https://twitter.com/progressglobe/status/1749101501169926482"/>
    <x v="8"/>
    <d v="2024-01-21T00:00:00.000"/>
    <s v="16:07:49"/>
    <b v="0"/>
    <m/>
    <m/>
    <m/>
    <m/>
    <m/>
    <m/>
    <m/>
    <m/>
    <m/>
    <m/>
    <m/>
    <m/>
    <s v="https://pbs.twimg.com/profile_images/1028322881057382400/YNyPYg4b_normal.jpg"/>
    <s v="1749101501169926482"/>
    <s v="1749101501169926482"/>
    <m/>
    <s v=""/>
    <s v=""/>
    <s v=""/>
    <s v="1749101501169926482"/>
    <n v="705314388"/>
    <m/>
    <m/>
    <m/>
    <m/>
    <m/>
    <n v="2"/>
    <s v="1"/>
    <s v="1"/>
    <n v="0"/>
    <n v="0"/>
    <n v="3"/>
    <n v="25"/>
    <n v="0"/>
    <n v="0"/>
    <n v="6"/>
    <n v="50"/>
    <n v="12"/>
  </r>
  <r>
    <s v="2a_allday"/>
    <s v="pdxreal1"/>
    <m/>
    <m/>
    <m/>
    <m/>
    <m/>
    <m/>
    <m/>
    <m/>
    <s v="No"/>
    <n v="18"/>
    <m/>
    <m/>
    <x v="4"/>
    <d v="2024-01-02T23:35:12.000"/>
    <s v="This state and city love taxing people to death. _x000a__x000a_Next they should add a toll so you have to pay a toll to use drugs freely in public downtown."/>
    <n v="0"/>
    <n v="0"/>
    <n v="0"/>
    <n v="0"/>
    <n v="167"/>
    <x v="1"/>
    <m/>
    <m/>
    <m/>
    <m/>
    <m/>
    <s v="Twitter for iPhone"/>
    <s v="en"/>
    <s v="https://twitter.com/2a_allday/status/1742328720814453040"/>
    <x v="9"/>
    <d v="2024-01-02T00:00:00.000"/>
    <s v="23:35:12"/>
    <m/>
    <s v="-122.7900653,45.421863 _x000a_-122.7900653,45.6509405 _x000a_-122.471751,45.6509405 _x000a_-122.471751,45.421863 _x000a_-122.7900653,45.421863"/>
    <s v="United States"/>
    <s v="US"/>
    <s v="Portland, OR"/>
    <s v="ac88a4f17a51c7fc"/>
    <s v="Portland"/>
    <s v="city"/>
    <m/>
    <m/>
    <m/>
    <m/>
    <m/>
    <s v="https://pbs.twimg.com/profile_images/1446504810732085251/PYMrQ9Hh_normal.jpg"/>
    <s v="1742328720814453040"/>
    <s v="1742328720814453040"/>
    <m/>
    <s v=""/>
    <s v="1742285926200672484"/>
    <s v=""/>
    <s v="1742285926200672484"/>
    <s v="1052345167011696640"/>
    <m/>
    <m/>
    <m/>
    <m/>
    <m/>
    <n v="1"/>
    <s v="11"/>
    <s v="11"/>
    <n v="1"/>
    <n v="3.4482758620689653"/>
    <n v="4"/>
    <n v="13.793103448275861"/>
    <n v="0"/>
    <n v="0"/>
    <n v="11"/>
    <n v="37.93103448275862"/>
    <n v="29"/>
  </r>
  <r>
    <s v="larssonrealtor"/>
    <s v="larssonrealtor"/>
    <m/>
    <m/>
    <m/>
    <m/>
    <m/>
    <m/>
    <m/>
    <m/>
    <s v="No"/>
    <n v="19"/>
    <m/>
    <m/>
    <x v="3"/>
    <d v="2023-05-26T18:36:37.000"/>
    <s v="Being a real estate professional isn’t an easy career.  Late night long days and working 7 days a week takes a toll, but if you love your client’s and deal-making its  well worth it 🙌_x000a_#realtor #realtorlife #RealEstate #realestateagent #exprealty #mrexp #grinding https://t.co/StZl8Mf9Wn"/>
    <n v="0"/>
    <n v="1"/>
    <n v="1"/>
    <n v="0"/>
    <n v="87"/>
    <x v="3"/>
    <m/>
    <m/>
    <m/>
    <s v="https://t.co/StZl8Mf9Wn https://pbs.twimg.com/tweet_video_thumb/FxEzCaTaMAAGsFb.jpg"/>
    <s v="animated_gif"/>
    <s v="Twitter for iPhone"/>
    <s v="en"/>
    <s v="https://twitter.com/larssonrealtor/status/1662165862126878722"/>
    <x v="10"/>
    <d v="2023-05-26T00:00:00.000"/>
    <s v="18:36:37"/>
    <b v="0"/>
    <s v="-122.750195,45.3822163 _x000a_-122.750195,45.44028 _x000a_-122.642587,45.44028 _x000a_-122.642587,45.3822163 _x000a_-122.750195,45.3822163"/>
    <s v="United States"/>
    <s v="US"/>
    <s v="Lake Oswego, OR"/>
    <s v="386b4dc0b52f8b48"/>
    <s v="Lake Oswego"/>
    <s v="city"/>
    <s v="16_1662165853989908480"/>
    <m/>
    <m/>
    <m/>
    <m/>
    <s v="https://pbs.twimg.com/tweet_video_thumb/FxEzCaTaMAAGsFb.jpg"/>
    <s v="1662165862126878722"/>
    <s v="1662165862126878722"/>
    <m/>
    <s v=""/>
    <s v=""/>
    <s v=""/>
    <s v="1662165862126878722"/>
    <s v="1519017633793814528"/>
    <m/>
    <m/>
    <m/>
    <m/>
    <m/>
    <n v="1"/>
    <s v="1"/>
    <s v="1"/>
    <n v="4"/>
    <n v="9.090909090909092"/>
    <n v="1"/>
    <n v="2.272727272727273"/>
    <n v="0"/>
    <n v="0"/>
    <n v="23"/>
    <n v="52.27272727272727"/>
    <n v="44"/>
  </r>
  <r>
    <s v="tradedebater"/>
    <s v="oregoncitizen_"/>
    <m/>
    <m/>
    <m/>
    <m/>
    <m/>
    <m/>
    <m/>
    <m/>
    <s v="No"/>
    <n v="20"/>
    <m/>
    <m/>
    <x v="2"/>
    <d v="2024-01-27T18:40:47.000"/>
    <s v="@oregoncitizen_ Well they are offering 16k a month for a Lead person on setting up the toll roads."/>
    <n v="0"/>
    <n v="3"/>
    <n v="2"/>
    <n v="0"/>
    <n v="131"/>
    <x v="1"/>
    <m/>
    <m/>
    <s v="oregoncitizen_"/>
    <m/>
    <m/>
    <s v="Twitter Web App"/>
    <s v="en"/>
    <s v="https://twitter.com/tradedebater/status/1751314325946634441"/>
    <x v="11"/>
    <d v="2024-01-27T00:00:00.000"/>
    <s v="18:40:47"/>
    <m/>
    <m/>
    <m/>
    <m/>
    <m/>
    <m/>
    <m/>
    <m/>
    <m/>
    <m/>
    <m/>
    <m/>
    <m/>
    <s v="https://pbs.twimg.com/profile_images/1493693239005745157/wGhfG2bM_normal.jpg"/>
    <s v="1751314325946634441"/>
    <s v="1751100656839242172"/>
    <s v="1135368066"/>
    <s v="1751100656839242172"/>
    <s v=""/>
    <s v=""/>
    <s v="1751100656839242172"/>
    <s v="1427065699491487747"/>
    <m/>
    <m/>
    <m/>
    <m/>
    <m/>
    <n v="1"/>
    <s v="2"/>
    <s v="2"/>
    <n v="2"/>
    <n v="11.11111111111111"/>
    <n v="1"/>
    <n v="5.555555555555555"/>
    <n v="0"/>
    <n v="0"/>
    <n v="7"/>
    <n v="38.888888888888886"/>
    <n v="18"/>
  </r>
  <r>
    <s v="eclecticradical"/>
    <s v="mrs_socialista"/>
    <m/>
    <m/>
    <m/>
    <m/>
    <m/>
    <m/>
    <m/>
    <m/>
    <s v="No"/>
    <n v="21"/>
    <m/>
    <m/>
    <x v="1"/>
    <d v="2024-01-22T17:23:32.000"/>
    <s v="@jakeguyco @tek_sauce @mrs_socialista Now do the American regime's death toll in Syria, and those of their ISIS and al-Nusra allies."/>
    <n v="0"/>
    <n v="1"/>
    <n v="0"/>
    <n v="0"/>
    <n v="18"/>
    <x v="1"/>
    <m/>
    <m/>
    <s v="jakeguyco tek_sauce mrs_socialista"/>
    <m/>
    <m/>
    <s v="Twitter Web App"/>
    <s v="en"/>
    <s v="https://twitter.com/eclecticradical/status/1749482945491165503"/>
    <x v="12"/>
    <d v="2024-01-22T00:00:00.000"/>
    <s v="17:23:32"/>
    <m/>
    <m/>
    <m/>
    <m/>
    <m/>
    <m/>
    <m/>
    <m/>
    <m/>
    <m/>
    <m/>
    <m/>
    <m/>
    <s v="https://pbs.twimg.com/profile_images/1655048336481878017/aQM2raQ8_normal.jpg"/>
    <s v="1749482945491165503"/>
    <s v="1749474742380142997"/>
    <s v="2381089621"/>
    <s v="1749480754990416304"/>
    <s v=""/>
    <s v=""/>
    <s v="1749480754990416304"/>
    <s v="1079360602454163456"/>
    <m/>
    <m/>
    <m/>
    <m/>
    <m/>
    <n v="1"/>
    <s v="10"/>
    <s v="10"/>
    <m/>
    <m/>
    <m/>
    <m/>
    <m/>
    <m/>
    <m/>
    <m/>
    <m/>
  </r>
  <r>
    <s v="darealgreglopez"/>
    <s v="darealgreglopez"/>
    <m/>
    <m/>
    <m/>
    <m/>
    <m/>
    <m/>
    <m/>
    <m/>
    <s v="No"/>
    <n v="24"/>
    <m/>
    <m/>
    <x v="3"/>
    <d v="2023-08-12T08:12:39.000"/>
    <s v="75 BILLION DOLLARS. _x000a_😡😡😡😡😡😡😡😡😡_x000a_We have people in need in Maui_x000a_Death toll is currently 80 and rising (they have yet to clear homes) _x000a_I drove by massive homeless communities in Portland tonight. _x000a_Our HOUSE is not in order. _x000a_We need to get our house in order before we fix… https://t.co/QgciUgeU3P"/>
    <n v="7"/>
    <n v="18"/>
    <n v="8"/>
    <n v="1"/>
    <n v="1434"/>
    <x v="1"/>
    <m/>
    <m/>
    <m/>
    <s v="https://t.co/QgciUgeU3P https://pbs.twimg.com/media/F3UQO9ub0AAoaRB.jpg"/>
    <s v="photo"/>
    <s v="Twitter for Android"/>
    <s v="en"/>
    <s v="https://twitter.com/darealgreglopez/status/1690275088648790016"/>
    <x v="13"/>
    <d v="2023-08-12T00:00:00.000"/>
    <s v="08:12:39"/>
    <b v="0"/>
    <s v="-122.7900653,45.421863 _x000a_-122.7900653,45.6509405 _x000a_-122.471751,45.6509405 _x000a_-122.471751,45.421863 _x000a_-122.7900653,45.421863"/>
    <s v="United States"/>
    <s v="US"/>
    <s v="Portland, OR"/>
    <s v="ac88a4f17a51c7fc"/>
    <s v="Portland"/>
    <s v="city"/>
    <s v="3_1690275084421025792"/>
    <m/>
    <m/>
    <m/>
    <m/>
    <s v="https://pbs.twimg.com/media/F3UQO9ub0AAoaRB.jpg"/>
    <s v="1690275088648790016"/>
    <s v="1690275088648790016"/>
    <m/>
    <s v=""/>
    <s v=""/>
    <s v=""/>
    <s v="1690275088648790016"/>
    <n v="3789907333"/>
    <m/>
    <m/>
    <m/>
    <m/>
    <m/>
    <n v="1"/>
    <s v="1"/>
    <s v="1"/>
    <n v="1"/>
    <n v="2.0408163265306123"/>
    <n v="2"/>
    <n v="4.081632653061225"/>
    <n v="0"/>
    <n v="0"/>
    <n v="23"/>
    <n v="46.93877551020408"/>
    <n v="49"/>
  </r>
  <r>
    <s v="aaronpoole85"/>
    <s v="aaronpoole85"/>
    <m/>
    <m/>
    <m/>
    <m/>
    <m/>
    <m/>
    <m/>
    <m/>
    <s v="No"/>
    <n v="25"/>
    <m/>
    <m/>
    <x v="2"/>
    <d v="2023-08-05T18:24:34.000"/>
    <s v="A slew of injuries and poor offseason roster management has had a toll on the team's league performance and a disappointing exit at home to RSL in the Open Cup relatively early. The team had a transfer window and getting everyone healthy again it felt the stars may align"/>
    <n v="0"/>
    <n v="0"/>
    <n v="1"/>
    <n v="0"/>
    <n v="57"/>
    <x v="1"/>
    <m/>
    <m/>
    <m/>
    <m/>
    <m/>
    <s v="Twitter for Android"/>
    <s v="en"/>
    <s v="https://twitter.com/aaronpoole85/status/1687892365766533120"/>
    <x v="14"/>
    <d v="2023-08-05T00:00:00.000"/>
    <s v="18:24:34"/>
    <m/>
    <s v="-122.7900653,45.421863 _x000a_-122.7900653,45.6509405 _x000a_-122.471751,45.6509405 _x000a_-122.471751,45.421863 _x000a_-122.7900653,45.421863"/>
    <s v="United States"/>
    <s v="US"/>
    <s v="Portland, OR"/>
    <s v="ac88a4f17a51c7fc"/>
    <s v="Portland"/>
    <s v="city"/>
    <m/>
    <m/>
    <m/>
    <m/>
    <m/>
    <s v="https://pbs.twimg.com/profile_images/1436524624452341762/4H28f4yK_normal.jpg"/>
    <s v="1687892365766533120"/>
    <s v="1687892364034252800"/>
    <s v="1489439804"/>
    <s v="1687892364034252800"/>
    <s v=""/>
    <s v=""/>
    <s v="1687892364034252800"/>
    <n v="1489439804"/>
    <m/>
    <m/>
    <m/>
    <m/>
    <m/>
    <n v="1"/>
    <s v="1"/>
    <s v="1"/>
    <n v="1"/>
    <n v="2.0408163265306123"/>
    <n v="3"/>
    <n v="6.122448979591836"/>
    <n v="0"/>
    <n v="0"/>
    <n v="24"/>
    <n v="48.97959183673469"/>
    <n v="49"/>
  </r>
  <r>
    <s v="1markcoker"/>
    <s v="dannymarang"/>
    <m/>
    <m/>
    <m/>
    <m/>
    <m/>
    <m/>
    <m/>
    <m/>
    <s v="No"/>
    <n v="26"/>
    <m/>
    <m/>
    <x v="2"/>
    <d v="2023-01-04T03:42:14.000"/>
    <s v="@DannyMarang Danny you have to stop being so hard on you computer. Maybe play so classical music when you away at work. The Heavy Metal is taking its toll. Or a good dusting. Your choice."/>
    <n v="0"/>
    <n v="2"/>
    <n v="0"/>
    <n v="0"/>
    <n v="480"/>
    <x v="1"/>
    <m/>
    <m/>
    <s v="dannymarang"/>
    <m/>
    <m/>
    <s v="Twitter for iPhone"/>
    <s v="en"/>
    <s v="https://twitter.com/1markcoker/status/1610481704812318720"/>
    <x v="15"/>
    <d v="2023-01-04T00:00:00.000"/>
    <s v="03:42:14"/>
    <m/>
    <s v="-123.122916,44.853813 _x000a_-123.122916,45.016355 _x000a_-122.935114,45.016355 _x000a_-122.935114,44.853813 _x000a_-123.122916,44.853813"/>
    <s v="United States"/>
    <s v="US"/>
    <s v="Salem, OR"/>
    <s v="c8022ca5114d7ea9"/>
    <s v="Salem"/>
    <s v="city"/>
    <m/>
    <m/>
    <m/>
    <m/>
    <m/>
    <s v="https://pbs.twimg.com/profile_images/1713267471795552256/I2PZVV1m_normal.jpg"/>
    <s v="1610481704812318720"/>
    <s v="1610478523868905474"/>
    <s v="256789870"/>
    <s v="1610478523868905474"/>
    <s v=""/>
    <s v=""/>
    <s v="1610478523868905474"/>
    <n v="1515310844"/>
    <m/>
    <m/>
    <m/>
    <m/>
    <m/>
    <n v="1"/>
    <s v="62"/>
    <s v="62"/>
    <n v="2"/>
    <n v="5.714285714285714"/>
    <n v="2"/>
    <n v="5.714285714285714"/>
    <n v="0"/>
    <n v="0"/>
    <n v="15"/>
    <n v="42.857142857142854"/>
    <n v="35"/>
  </r>
  <r>
    <s v="1markcoker"/>
    <s v="1markcoker"/>
    <m/>
    <m/>
    <m/>
    <m/>
    <m/>
    <m/>
    <m/>
    <m/>
    <s v="No"/>
    <n v="27"/>
    <m/>
    <m/>
    <x v="3"/>
    <d v="2023-12-22T02:12:24.000"/>
    <s v="Listing to a number of PODs on the Blazers. You all are being to critical of the team that’s not played together all season. I mean for more than 5 games in a row with the same starting 5. Losing games takes a toll on the players. Is the coach the issues yes, but not the reason…"/>
    <n v="0"/>
    <n v="1"/>
    <n v="0"/>
    <n v="0"/>
    <n v="44"/>
    <x v="1"/>
    <m/>
    <m/>
    <m/>
    <m/>
    <m/>
    <s v="Twitter for iPhone"/>
    <s v="en"/>
    <s v="https://twitter.com/1markcoker/status/1738019628411244576"/>
    <x v="16"/>
    <d v="2023-12-22T00:00:00.000"/>
    <s v="02:12:24"/>
    <m/>
    <s v="-122.7900653,45.421863 _x000a_-122.7900653,45.6509405 _x000a_-122.471751,45.6509405 _x000a_-122.471751,45.421863 _x000a_-122.7900653,45.421863"/>
    <s v="United States"/>
    <s v="US"/>
    <s v="Portland, OR"/>
    <s v="ac88a4f17a51c7fc"/>
    <s v="Portland"/>
    <s v="city"/>
    <m/>
    <m/>
    <m/>
    <m/>
    <m/>
    <s v="https://pbs.twimg.com/profile_images/1713267471795552256/I2PZVV1m_normal.jpg"/>
    <s v="1738019628411244576"/>
    <s v="1738019628411244576"/>
    <m/>
    <s v=""/>
    <s v=""/>
    <s v=""/>
    <s v="1738019628411244576"/>
    <n v="1515310844"/>
    <m/>
    <m/>
    <m/>
    <m/>
    <m/>
    <n v="1"/>
    <s v="62"/>
    <s v="62"/>
    <n v="0"/>
    <n v="0"/>
    <n v="4"/>
    <n v="6.896551724137931"/>
    <n v="0"/>
    <n v="0"/>
    <n v="21"/>
    <n v="36.206896551724135"/>
    <n v="58"/>
  </r>
  <r>
    <s v="saylahachey"/>
    <s v="saylahachey"/>
    <m/>
    <m/>
    <m/>
    <m/>
    <m/>
    <m/>
    <m/>
    <m/>
    <s v="No"/>
    <n v="28"/>
    <m/>
    <m/>
    <x v="3"/>
    <d v="2023-04-13T22:05:10.000"/>
    <s v="What is the mental toll of cancer on a patient?"/>
    <n v="9"/>
    <n v="84"/>
    <n v="29"/>
    <n v="2"/>
    <n v="6942"/>
    <x v="1"/>
    <m/>
    <m/>
    <m/>
    <m/>
    <m/>
    <s v="Twitter for iPhone"/>
    <s v="en"/>
    <s v="https://twitter.com/saylahachey/status/1646635665021624320"/>
    <x v="17"/>
    <d v="2023-04-13T00:00:00.000"/>
    <s v="22:05:10"/>
    <m/>
    <s v="-122.7900653,45.421863 _x000a_-122.7900653,45.6509405 _x000a_-122.471751,45.6509405 _x000a_-122.471751,45.421863 _x000a_-122.7900653,45.421863"/>
    <s v="United States"/>
    <s v="US"/>
    <s v="Portland, OR"/>
    <s v="ac88a4f17a51c7fc"/>
    <s v="Portland"/>
    <s v="city"/>
    <m/>
    <m/>
    <m/>
    <m/>
    <m/>
    <s v="https://pbs.twimg.com/profile_images/1749584625180270592/a4dS57l4_normal.jpg"/>
    <s v="1646635665021624320"/>
    <s v="1646635665021624320"/>
    <m/>
    <s v=""/>
    <s v=""/>
    <s v=""/>
    <s v="1646635665021624320"/>
    <s v="1225236847137132544"/>
    <m/>
    <m/>
    <m/>
    <m/>
    <m/>
    <n v="1"/>
    <s v="1"/>
    <s v="1"/>
    <n v="1"/>
    <n v="10"/>
    <n v="2"/>
    <n v="20"/>
    <n v="0"/>
    <n v="0"/>
    <n v="1"/>
    <n v="10"/>
    <n v="10"/>
  </r>
  <r>
    <s v="dc_us"/>
    <s v="dc_us"/>
    <m/>
    <m/>
    <m/>
    <m/>
    <m/>
    <m/>
    <m/>
    <m/>
    <s v="No"/>
    <n v="29"/>
    <m/>
    <m/>
    <x v="2"/>
    <d v="2024-01-24T22:34:02.000"/>
    <s v="5 &quot;The pandemic's true death toll&quot;. The Economist._x000a_6  Ritchie, Hannah; Mathieu, Edouard; Rodés-Guirao, Lucas; Appel, Cameron; Giattino, Charlie; Ortiz-Ospina, Esteban; Hasell, Joe; Macdonald, Bobbie; Beltekian, Diana; Roser, Max (5 Mar 2020). &quot;Coronavirus Pandemic (COVID-19)&quot;."/>
    <n v="0"/>
    <n v="0"/>
    <n v="1"/>
    <n v="0"/>
    <n v="92"/>
    <x v="1"/>
    <m/>
    <m/>
    <m/>
    <m/>
    <m/>
    <s v="Twitter Web App"/>
    <s v="en"/>
    <s v="https://twitter.com/dc_us/status/1750285858627092898"/>
    <x v="18"/>
    <d v="2024-01-24T00:00:00.000"/>
    <s v="22:34:02"/>
    <m/>
    <m/>
    <m/>
    <m/>
    <m/>
    <m/>
    <m/>
    <m/>
    <m/>
    <m/>
    <m/>
    <m/>
    <m/>
    <s v="https://pbs.twimg.com/profile_images/1751808395039084544/gvnbNJNB_normal.jpg"/>
    <s v="1750285858627092898"/>
    <s v="1750285398826438963"/>
    <s v="101825287"/>
    <s v="1750285398826438963"/>
    <s v=""/>
    <s v=""/>
    <s v="1750285398826438963"/>
    <n v="101825287"/>
    <m/>
    <m/>
    <m/>
    <m/>
    <m/>
    <n v="1"/>
    <s v="1"/>
    <s v="1"/>
    <n v="0"/>
    <n v="0"/>
    <n v="3"/>
    <n v="7.894736842105263"/>
    <n v="0"/>
    <n v="0"/>
    <n v="30"/>
    <n v="78.94736842105263"/>
    <n v="38"/>
  </r>
  <r>
    <s v="dennisthatsit"/>
    <s v="em1liath"/>
    <m/>
    <m/>
    <m/>
    <m/>
    <m/>
    <m/>
    <m/>
    <m/>
    <s v="No"/>
    <n v="30"/>
    <m/>
    <m/>
    <x v="4"/>
    <d v="2024-01-26T10:31:09.000"/>
    <s v="Years ago, I remember reading the account of a wife of a game developer who had to move around from studio to studio on a biannual basis, and the toll it took on them and their kids..._x000a_There's no excuse for this industry to not primarily be work from home."/>
    <n v="0"/>
    <n v="2"/>
    <n v="0"/>
    <n v="0"/>
    <n v="164"/>
    <x v="1"/>
    <m/>
    <m/>
    <m/>
    <m/>
    <m/>
    <s v="Twitter for Android"/>
    <s v="en"/>
    <s v="https://twitter.com/dennisthatsit/status/1750828716304031958"/>
    <x v="19"/>
    <d v="2024-01-26T00:00:00.000"/>
    <s v="10:31:09"/>
    <m/>
    <m/>
    <m/>
    <m/>
    <m/>
    <m/>
    <m/>
    <m/>
    <m/>
    <m/>
    <m/>
    <m/>
    <m/>
    <s v="https://pbs.twimg.com/profile_images/1094430719722512384/wkO7QMpY_normal.jpg"/>
    <s v="1750828716304031958"/>
    <s v="1750828716304031958"/>
    <m/>
    <s v=""/>
    <s v="1750723160238870792"/>
    <s v=""/>
    <s v="1750723160238870792"/>
    <n v="2547545466"/>
    <m/>
    <m/>
    <m/>
    <m/>
    <m/>
    <n v="1"/>
    <s v="61"/>
    <s v="61"/>
    <n v="1"/>
    <n v="2"/>
    <n v="2"/>
    <n v="4"/>
    <n v="0"/>
    <n v="0"/>
    <n v="19"/>
    <n v="38"/>
    <n v="50"/>
  </r>
  <r>
    <s v="glorianelson"/>
    <s v="joepompliano"/>
    <m/>
    <m/>
    <m/>
    <m/>
    <m/>
    <m/>
    <m/>
    <m/>
    <s v="No"/>
    <n v="31"/>
    <m/>
    <m/>
    <x v="2"/>
    <d v="2023-02-13T05:46:43.000"/>
    <s v="@JoePompliano That’s pretty cool!  I’d like to roll out my back yard and toll in some new fresh grass with no brown spots!"/>
    <n v="0"/>
    <n v="0"/>
    <n v="0"/>
    <n v="0"/>
    <n v="314"/>
    <x v="1"/>
    <m/>
    <m/>
    <s v="joepompliano"/>
    <m/>
    <m/>
    <s v="Twitter for iPhone"/>
    <s v="en"/>
    <s v="https://twitter.com/glorianelson/status/1625008547397517314"/>
    <x v="20"/>
    <d v="2023-02-13T00:00:00.000"/>
    <s v="05:46:43"/>
    <m/>
    <s v="-122.7134422,45.5825007 _x000a_-122.7134422,45.6786765 _x000a_-122.4645067,45.6786765 _x000a_-122.4645067,45.5825007 _x000a_-122.7134422,45.5825007"/>
    <s v="United States"/>
    <s v="US"/>
    <s v="Vancouver, WA"/>
    <s v="5a16f6443a850916"/>
    <s v="Vancouver"/>
    <s v="city"/>
    <m/>
    <m/>
    <m/>
    <m/>
    <m/>
    <s v="https://pbs.twimg.com/profile_images/439635627269558272/7NaPKuqY_normal.jpeg"/>
    <s v="1625008547397517314"/>
    <s v="1624815283973005314"/>
    <s v="1230676218770579456"/>
    <s v="1624815283973005314"/>
    <s v=""/>
    <s v=""/>
    <s v="1624815283973005314"/>
    <n v="36297407"/>
    <m/>
    <m/>
    <m/>
    <m/>
    <m/>
    <n v="1"/>
    <s v="60"/>
    <s v="60"/>
    <n v="3"/>
    <n v="12"/>
    <n v="1"/>
    <n v="4"/>
    <n v="0"/>
    <n v="0"/>
    <n v="7"/>
    <n v="28"/>
    <n v="25"/>
  </r>
  <r>
    <s v="tina67536990"/>
    <s v="endofracism"/>
    <m/>
    <m/>
    <m/>
    <m/>
    <m/>
    <m/>
    <m/>
    <m/>
    <s v="No"/>
    <n v="32"/>
    <m/>
    <m/>
    <x v="1"/>
    <d v="2023-12-03T06:29:47.000"/>
    <s v="@IntM_student @endofracism You find statistics IF YOU WANT yourself._x000a__x000a_About 130,000 had to evacuate when Trump abandoned them. I don't know the death toll._x000a__x000a_Just saying....you think Biden is bad. Trump is worse. Look at Trump backing Saudis in Yemen._x000a__x000a_https://t.co/t0Tcwku7i2 https://t.co/VMWJZfPUWv"/>
    <n v="0"/>
    <n v="0"/>
    <n v="1"/>
    <n v="0"/>
    <n v="23"/>
    <x v="1"/>
    <s v="https://www.cnbc.com/2019/10/10/trump-defends-allowing-turkish-offensive-on-kurds-in-syria-they-didnt-help-us-in-ww2.html"/>
    <s v="cnbc.com"/>
    <s v="intm_student endofracism"/>
    <s v="https://t.co/VMWJZfPUWv https://pbs.twimg.com/media/GAZ0V8WbgAAvdxE.jpg"/>
    <s v="photo"/>
    <s v="Twitter for Android"/>
    <s v="en"/>
    <s v="https://twitter.com/tina67536990/status/1731199031660188151"/>
    <x v="21"/>
    <d v="2023-12-03T00:00:00.000"/>
    <s v="06:29:47"/>
    <b v="0"/>
    <s v="-122.7900653,45.421863 _x000a_-122.7900653,45.6509405 _x000a_-122.471751,45.6509405 _x000a_-122.471751,45.421863 _x000a_-122.7900653,45.421863"/>
    <s v="United States"/>
    <s v="US"/>
    <s v="Portland, OR"/>
    <s v="ac88a4f17a51c7fc"/>
    <s v="Portland"/>
    <s v="city"/>
    <s v="3_1731199027096813568"/>
    <m/>
    <m/>
    <m/>
    <m/>
    <s v="https://pbs.twimg.com/media/GAZ0V8WbgAAvdxE.jpg"/>
    <s v="1731199031660188151"/>
    <s v="1731169482142359722"/>
    <s v="1780368829"/>
    <s v="1731187333985444066"/>
    <s v=""/>
    <s v=""/>
    <s v="1731187333985444066"/>
    <s v="1178435687634239488"/>
    <m/>
    <m/>
    <m/>
    <m/>
    <m/>
    <n v="1"/>
    <s v="21"/>
    <s v="21"/>
    <m/>
    <m/>
    <m/>
    <m/>
    <m/>
    <m/>
    <m/>
    <m/>
    <m/>
  </r>
  <r>
    <s v="rls2231404958"/>
    <s v="rls2231404958"/>
    <m/>
    <m/>
    <m/>
    <m/>
    <m/>
    <m/>
    <m/>
    <m/>
    <s v="No"/>
    <n v="34"/>
    <m/>
    <m/>
    <x v="3"/>
    <d v="2024-01-11T01:46:17.000"/>
    <s v="Dear Middle Class Citizens,_x000a__x000a_Please enjoy this #spoileralert and keep calm and carry on with your head in the sand because the SEC is DEFINITELY NOT approving #bitcoin a.k.a. #WorldEconomicForum #depopulation toll/tool dujour._x000a__x000a_https://t.co/o1Tyi0gCJy"/>
    <n v="0"/>
    <n v="1"/>
    <n v="1"/>
    <n v="0"/>
    <n v="61"/>
    <x v="4"/>
    <s v="https://www.thestreet.com/crypto/markets/sec-approves-first-ever-spot-bitcoin-etfs"/>
    <s v="thestreet.com"/>
    <m/>
    <m/>
    <m/>
    <s v="Twitter for Android"/>
    <s v="en"/>
    <s v="https://twitter.com/rls2231404958/status/1745260812602921283"/>
    <x v="22"/>
    <d v="2024-01-11T00:00:00.000"/>
    <s v="01:46:17"/>
    <b v="0"/>
    <s v="-122.7900653,45.421863 _x000a_-122.7900653,45.6509405 _x000a_-122.471751,45.6509405 _x000a_-122.471751,45.421863 _x000a_-122.7900653,45.421863"/>
    <s v="United States"/>
    <s v="US"/>
    <s v="Portland, OR"/>
    <s v="ac88a4f17a51c7fc"/>
    <s v="Portland"/>
    <s v="city"/>
    <m/>
    <m/>
    <m/>
    <m/>
    <m/>
    <s v="https://pbs.twimg.com/profile_images/1726605352899391489/oKG__d7L_normal.jpg"/>
    <s v="1745260812602921283"/>
    <s v="1745260812602921283"/>
    <m/>
    <s v=""/>
    <s v=""/>
    <s v=""/>
    <s v="1745260812602921283"/>
    <s v="1677457390181175296"/>
    <m/>
    <m/>
    <m/>
    <m/>
    <m/>
    <n v="1"/>
    <s v="1"/>
    <s v="1"/>
    <n v="2"/>
    <n v="5.555555555555555"/>
    <n v="1"/>
    <n v="2.7777777777777777"/>
    <n v="0"/>
    <n v="0"/>
    <n v="18"/>
    <n v="50"/>
    <n v="36"/>
  </r>
  <r>
    <s v="jennife39481653"/>
    <s v="keneakers"/>
    <m/>
    <m/>
    <m/>
    <m/>
    <m/>
    <m/>
    <m/>
    <m/>
    <s v="No"/>
    <n v="35"/>
    <m/>
    <m/>
    <x v="2"/>
    <d v="2023-10-19T02:28:13.000"/>
    <s v="@KeneAkers It's terrifying, infuriating, and absolutely senseless. As the death toll rises, my heart breaks for all those innocents who have died. I will never understand what these individuals gain. https://t.co/T6QoUcLzba"/>
    <n v="1"/>
    <n v="10"/>
    <n v="2"/>
    <n v="0"/>
    <n v="119"/>
    <x v="1"/>
    <m/>
    <m/>
    <s v="keneakers"/>
    <s v="https://t.co/T6QoUcLzba https://pbs.twimg.com/media/F8xNgmCbIAAEi7B.jpg"/>
    <s v="photo"/>
    <s v="Twitter for Android"/>
    <s v="en"/>
    <s v="https://twitter.com/jennife39481653/status/1714830782173532265"/>
    <x v="23"/>
    <d v="2023-10-19T00:00:00.000"/>
    <s v="02:28:13"/>
    <b v="0"/>
    <s v="-122.635258,45.378335 _x000a_-122.635258,45.406294 _x000a_-122.597935,45.406294 _x000a_-122.597935,45.378335 _x000a_-122.635258,45.378335"/>
    <s v="United States"/>
    <s v="US"/>
    <s v="Jennings Lodge, OR"/>
    <s v="d83bf5f2f5ccbdef"/>
    <s v="Jennings Lodge"/>
    <s v="city"/>
    <s v="3_1714830780483182592"/>
    <m/>
    <m/>
    <m/>
    <m/>
    <s v="https://pbs.twimg.com/media/F8xNgmCbIAAEi7B.jpg"/>
    <s v="1714830782173532265"/>
    <s v="1714824624268349935"/>
    <s v="545976685"/>
    <s v="1714824624268349935"/>
    <s v=""/>
    <s v=""/>
    <s v="1714824624268349935"/>
    <s v="1219987752239812608"/>
    <m/>
    <m/>
    <m/>
    <m/>
    <m/>
    <n v="1"/>
    <s v="59"/>
    <s v="59"/>
    <n v="1"/>
    <n v="3.3333333333333335"/>
    <n v="6"/>
    <n v="20"/>
    <n v="0"/>
    <n v="0"/>
    <n v="10"/>
    <n v="33.333333333333336"/>
    <n v="30"/>
  </r>
  <r>
    <s v="jennife39481653"/>
    <s v="jennife39481653"/>
    <m/>
    <m/>
    <m/>
    <m/>
    <m/>
    <m/>
    <m/>
    <m/>
    <s v="No"/>
    <n v="36"/>
    <m/>
    <m/>
    <x v="3"/>
    <d v="2023-12-08T18:06:37.000"/>
    <s v="US rejects ceasefire call as Gaza death toll jumps_x000a_#JoeBidenIsAWarCriminal _x000a_The United States Is An Apartheid State _x000a_https://t.co/ReGnMChp19"/>
    <n v="0"/>
    <n v="0"/>
    <n v="0"/>
    <n v="0"/>
    <n v="22"/>
    <x v="5"/>
    <s v="https://www.aljazeera.com/news/liveblog/2023/12/8/israel-hamas-war-live-palestinians-demand-end-to-israels-gaza-onslaught"/>
    <s v="aljazeera.com"/>
    <m/>
    <m/>
    <m/>
    <s v="Twitter for Android"/>
    <s v="en"/>
    <s v="https://twitter.com/jennife39481653/status/1733186334825857167"/>
    <x v="24"/>
    <d v="2023-12-08T00:00:00.000"/>
    <s v="18:06:37"/>
    <b v="0"/>
    <s v="-122.635258,45.378335 _x000a_-122.635258,45.406294 _x000a_-122.597935,45.406294 _x000a_-122.597935,45.378335 _x000a_-122.635258,45.378335"/>
    <s v="United States"/>
    <s v="US"/>
    <s v="Jennings Lodge, OR"/>
    <s v="d83bf5f2f5ccbdef"/>
    <s v="Jennings Lodge"/>
    <s v="city"/>
    <m/>
    <m/>
    <m/>
    <m/>
    <m/>
    <s v="https://pbs.twimg.com/profile_images/1683927772098621441/V-jD1C0H_normal.jpg"/>
    <s v="1733186334825857167"/>
    <s v="1733186334825857167"/>
    <m/>
    <s v=""/>
    <s v=""/>
    <s v=""/>
    <s v="1733186334825857167"/>
    <s v="1219987752239812608"/>
    <m/>
    <m/>
    <m/>
    <m/>
    <m/>
    <n v="1"/>
    <s v="59"/>
    <s v="59"/>
    <n v="0"/>
    <n v="0"/>
    <n v="3"/>
    <n v="17.647058823529413"/>
    <n v="0"/>
    <n v="0"/>
    <n v="9"/>
    <n v="52.94117647058823"/>
    <n v="17"/>
  </r>
  <r>
    <s v="khazeni"/>
    <s v="rondesantis"/>
    <m/>
    <m/>
    <m/>
    <m/>
    <m/>
    <m/>
    <m/>
    <m/>
    <s v="No"/>
    <n v="37"/>
    <m/>
    <m/>
    <x v="1"/>
    <d v="2023-06-18T18:34:15.000"/>
    <s v="@MillieMinet @MadeInTheUSANJ @TeamDeSantis @RonDeSantis Like $21 Billion surplus, he engaged in recovery efforts after Hurricane Ian and Hurricane Nicole._x000a_Cut sales tax for children items. Cut toll fees to half. _x000a_Unemployment at 2.6%. One of the lowest in the nation. Is this a good start for you?"/>
    <n v="0"/>
    <n v="1"/>
    <n v="2"/>
    <n v="0"/>
    <n v="42"/>
    <x v="1"/>
    <m/>
    <m/>
    <s v="millieminet madeintheusanj teamdesantis rondesantis"/>
    <m/>
    <m/>
    <s v="Twitter for iPhone"/>
    <s v="en"/>
    <s v="https://twitter.com/khazeni/status/1670500185171173376"/>
    <x v="25"/>
    <d v="2023-06-18T00:00:00.000"/>
    <s v="18:34:15"/>
    <m/>
    <s v="-122.7900653,45.421863 _x000a_-122.7900653,45.6509405 _x000a_-122.471751,45.6509405 _x000a_-122.471751,45.421863 _x000a_-122.7900653,45.421863"/>
    <s v="United States"/>
    <s v="US"/>
    <s v="Portland, OR"/>
    <s v="ac88a4f17a51c7fc"/>
    <s v="Portland"/>
    <s v="city"/>
    <m/>
    <m/>
    <m/>
    <m/>
    <m/>
    <s v="https://pbs.twimg.com/profile_images/2717311346/936f3d589111deee707b8c55aad2bc56_normal.jpeg"/>
    <s v="1670500185171173376"/>
    <s v="1670451429406908426"/>
    <s v="757529364"/>
    <s v="1670485064742850560"/>
    <s v=""/>
    <s v=""/>
    <s v="1670485064742850560"/>
    <n v="47545907"/>
    <m/>
    <m/>
    <m/>
    <m/>
    <m/>
    <n v="1"/>
    <s v="7"/>
    <s v="7"/>
    <m/>
    <m/>
    <m/>
    <m/>
    <m/>
    <m/>
    <m/>
    <m/>
    <m/>
  </r>
  <r>
    <s v="izi_kljucanin"/>
    <s v="mysportsupdate"/>
    <m/>
    <m/>
    <m/>
    <m/>
    <m/>
    <m/>
    <m/>
    <m/>
    <s v="No"/>
    <n v="41"/>
    <m/>
    <m/>
    <x v="4"/>
    <d v="2023-10-16T04:16:45.000"/>
    <s v="I can’t believe how uneducated people are on the monstrosities Israel has done to Palestine as well as the contributions they’ve done to evil. Is he going to google the death toll of Palestinians or the amount of bombs dropped on Gaza?"/>
    <n v="0"/>
    <n v="8"/>
    <n v="0"/>
    <n v="0"/>
    <n v="667"/>
    <x v="1"/>
    <m/>
    <m/>
    <m/>
    <m/>
    <m/>
    <s v="Twitter for iPhone"/>
    <s v="en"/>
    <s v="https://twitter.com/izi_kljucanin/status/1713770934107251164"/>
    <x v="26"/>
    <d v="2023-10-16T00:00:00.000"/>
    <s v="04:16:45"/>
    <m/>
    <s v="-122.498909,45.460886 _x000a_-122.498909,45.5593945 _x000a_-122.367482,45.5593945 _x000a_-122.367482,45.460886 _x000a_-122.498909,45.460886"/>
    <s v="United States"/>
    <s v="US"/>
    <s v="Gresham, OR"/>
    <s v="7bf7dcb9504c91c9"/>
    <s v="Gresham"/>
    <s v="city"/>
    <m/>
    <m/>
    <m/>
    <m/>
    <m/>
    <s v="https://pbs.twimg.com/profile_images/1550566428624961538/ZQRbRpAa_normal.jpg"/>
    <s v="1713770934107251164"/>
    <s v="1713770934107251164"/>
    <m/>
    <s v=""/>
    <s v="1713702623033917749"/>
    <s v=""/>
    <s v="1713702623033917749"/>
    <n v="574698410"/>
    <m/>
    <m/>
    <m/>
    <m/>
    <m/>
    <n v="1"/>
    <s v="12"/>
    <s v="12"/>
    <n v="1"/>
    <n v="2.272727272727273"/>
    <n v="4"/>
    <n v="9.090909090909092"/>
    <n v="0"/>
    <n v="0"/>
    <n v="16"/>
    <n v="36.36363636363637"/>
    <n v="44"/>
  </r>
  <r>
    <s v="sfmission2"/>
    <s v="lecheconcoffee"/>
    <m/>
    <m/>
    <m/>
    <m/>
    <m/>
    <m/>
    <m/>
    <m/>
    <s v="No"/>
    <n v="42"/>
    <m/>
    <m/>
    <x v="2"/>
    <d v="2024-01-23T19:55:44.000"/>
    <s v="@lecheconcoffee @SmithTootie @oregoncitizen_ Her comment was regarding the tolls and how any money made after expenses will be diverted._x000a__x000a_I'm guessing the story on the grant made her think about how the toll money would be abused._x000a__x000a_Reasonable people could focus on one of the other."/>
    <n v="0"/>
    <n v="0"/>
    <n v="1"/>
    <n v="0"/>
    <n v="55"/>
    <x v="1"/>
    <m/>
    <m/>
    <s v="lecheconcoffee smithtootie oregoncitizen_"/>
    <m/>
    <m/>
    <s v="Twitter Web App"/>
    <s v="en"/>
    <s v="https://twitter.com/sfmission2/status/1749883635510223077"/>
    <x v="27"/>
    <d v="2024-01-23T00:00:00.000"/>
    <s v="19:55:44"/>
    <m/>
    <m/>
    <m/>
    <m/>
    <m/>
    <m/>
    <m/>
    <m/>
    <m/>
    <m/>
    <m/>
    <m/>
    <m/>
    <s v="https://pbs.twimg.com/profile_images/1691930509339967488/75q8qq0c_normal.jpg"/>
    <s v="1749883635510223077"/>
    <s v="1749832496651661370"/>
    <s v="23300044"/>
    <s v="1749882631670632902"/>
    <s v=""/>
    <s v=""/>
    <s v="1749882631670632902"/>
    <s v="1087446557610336256"/>
    <m/>
    <m/>
    <m/>
    <m/>
    <m/>
    <n v="2"/>
    <s v="2"/>
    <s v="2"/>
    <m/>
    <m/>
    <m/>
    <m/>
    <m/>
    <m/>
    <m/>
    <m/>
    <m/>
  </r>
  <r>
    <s v="sfmission2"/>
    <s v="lecheconcoffee"/>
    <m/>
    <m/>
    <m/>
    <m/>
    <m/>
    <m/>
    <m/>
    <m/>
    <s v="No"/>
    <n v="43"/>
    <m/>
    <m/>
    <x v="2"/>
    <d v="2024-01-23T19:47:43.000"/>
    <s v="@lecheconcoffee @SmithTootie @oregoncitizen_ Bridge toll money will be diverted to subsidizing EV's in Oregon for upper income people"/>
    <n v="0"/>
    <n v="0"/>
    <n v="1"/>
    <n v="0"/>
    <n v="48"/>
    <x v="1"/>
    <m/>
    <m/>
    <s v="lecheconcoffee smithtootie oregoncitizen_"/>
    <m/>
    <m/>
    <s v="Twitter Web App"/>
    <s v="en"/>
    <s v="https://twitter.com/sfmission2/status/1749881619031441597"/>
    <x v="28"/>
    <d v="2024-01-23T00:00:00.000"/>
    <s v="19:47:43"/>
    <m/>
    <m/>
    <m/>
    <m/>
    <m/>
    <m/>
    <m/>
    <m/>
    <m/>
    <m/>
    <m/>
    <m/>
    <m/>
    <s v="https://pbs.twimg.com/profile_images/1691930509339967488/75q8qq0c_normal.jpg"/>
    <s v="1749881619031441597"/>
    <s v="1749832496651661370"/>
    <s v="23300044"/>
    <s v="1749866239449759898"/>
    <s v=""/>
    <s v=""/>
    <s v="1749866239449759898"/>
    <s v="1087446557610336256"/>
    <m/>
    <m/>
    <m/>
    <m/>
    <m/>
    <n v="2"/>
    <s v="2"/>
    <s v="2"/>
    <m/>
    <m/>
    <m/>
    <m/>
    <m/>
    <m/>
    <m/>
    <m/>
    <m/>
  </r>
  <r>
    <s v="samfacto"/>
    <s v="samfacto"/>
    <m/>
    <m/>
    <m/>
    <m/>
    <m/>
    <m/>
    <m/>
    <m/>
    <s v="No"/>
    <n v="48"/>
    <m/>
    <m/>
    <x v="3"/>
    <d v="2024-01-27T19:25:42.000"/>
    <s v="The toll booth scene in the godfather but they’re just breaking tons of spaghetti at Sonny"/>
    <n v="0"/>
    <n v="1"/>
    <n v="0"/>
    <n v="0"/>
    <n v="117"/>
    <x v="1"/>
    <m/>
    <m/>
    <m/>
    <m/>
    <m/>
    <s v="Twitter for iPhone"/>
    <s v="en"/>
    <s v="https://twitter.com/samfacto/status/1751325628740292758"/>
    <x v="29"/>
    <d v="2024-01-27T00:00:00.000"/>
    <s v="19:25:42"/>
    <m/>
    <m/>
    <m/>
    <m/>
    <m/>
    <m/>
    <m/>
    <m/>
    <m/>
    <m/>
    <m/>
    <m/>
    <m/>
    <s v="https://pbs.twimg.com/profile_images/1740133479357227008/M7cnTK0g_normal.jpg"/>
    <s v="1751325628740292758"/>
    <s v="1751325628740292758"/>
    <m/>
    <s v=""/>
    <s v=""/>
    <s v=""/>
    <s v="1751325628740292758"/>
    <n v="247073825"/>
    <m/>
    <m/>
    <m/>
    <m/>
    <m/>
    <n v="1"/>
    <s v="1"/>
    <s v="1"/>
    <n v="0"/>
    <n v="0"/>
    <n v="2"/>
    <n v="11.764705882352942"/>
    <n v="0"/>
    <n v="0"/>
    <n v="7"/>
    <n v="41.1764705882353"/>
    <n v="17"/>
  </r>
  <r>
    <s v="robertjkingsbu1"/>
    <s v="nypost"/>
    <m/>
    <m/>
    <m/>
    <m/>
    <m/>
    <m/>
    <m/>
    <m/>
    <s v="No"/>
    <n v="49"/>
    <m/>
    <m/>
    <x v="0"/>
    <d v="2024-01-23T17:04:34.000"/>
    <s v="Israel says 24 troops killed in Gaza fighting, country's highest single-day toll during war https://t.co/cTnkm17QDk via @nypost"/>
    <n v="0"/>
    <n v="0"/>
    <n v="0"/>
    <n v="0"/>
    <n v="10"/>
    <x v="1"/>
    <s v="https://nypost.com/2024/01/23/news/israel-says-24-troops-killed-in-gaza-fighting-highest-single-day-toll/?utm_source=twitter&amp;utm_medium=social&amp;utm_campaign=nypost_sitebuttons"/>
    <s v="nypost.com"/>
    <s v="nypost"/>
    <m/>
    <m/>
    <s v="Twitter Web App"/>
    <s v="en"/>
    <s v="https://twitter.com/robertjkingsbu1/status/1749840560029094028"/>
    <x v="30"/>
    <d v="2024-01-23T00:00:00.000"/>
    <s v="17:04:34"/>
    <b v="0"/>
    <m/>
    <m/>
    <m/>
    <m/>
    <m/>
    <m/>
    <m/>
    <m/>
    <m/>
    <m/>
    <m/>
    <m/>
    <s v="https://pbs.twimg.com/profile_images/1518854310943019008/8GMRH-qX_normal.jpg"/>
    <s v="1749840560029094028"/>
    <s v="1749840560029094028"/>
    <m/>
    <s v=""/>
    <s v=""/>
    <s v=""/>
    <s v="1749840560029094028"/>
    <s v="1352451605950386177"/>
    <m/>
    <m/>
    <m/>
    <m/>
    <m/>
    <n v="1"/>
    <s v="58"/>
    <s v="58"/>
    <n v="0"/>
    <n v="0"/>
    <n v="2"/>
    <n v="11.764705882352942"/>
    <n v="0"/>
    <n v="0"/>
    <n v="12"/>
    <n v="70.58823529411765"/>
    <n v="17"/>
  </r>
  <r>
    <s v="breakingpdxnews"/>
    <s v="breakingpdxnews"/>
    <m/>
    <m/>
    <m/>
    <m/>
    <m/>
    <m/>
    <m/>
    <m/>
    <s v="No"/>
    <n v="50"/>
    <m/>
    <m/>
    <x v="3"/>
    <d v="2024-01-24T01:43:03.000"/>
    <s v="PacificCorp hit with another multimillion dollar wildfire judgment: Oregon wildfire toll continues to rise for the utility owned by Warren Buffett's Berkshire Hathaway. https://t.co/QDyWtxl4yT"/>
    <n v="0"/>
    <n v="1"/>
    <n v="0"/>
    <n v="0"/>
    <n v="205"/>
    <x v="1"/>
    <s v="http://dlvr.it/T1nZyd"/>
    <s v="dlvr.it"/>
    <m/>
    <m/>
    <m/>
    <s v="dlvr.it"/>
    <s v="en"/>
    <s v="https://twitter.com/breakingpdxnews/status/1749971040888029565"/>
    <x v="31"/>
    <d v="2024-01-24T00:00:00.000"/>
    <s v="01:43:03"/>
    <b v="0"/>
    <m/>
    <m/>
    <m/>
    <m/>
    <m/>
    <m/>
    <m/>
    <m/>
    <m/>
    <m/>
    <m/>
    <m/>
    <s v="https://pbs.twimg.com/profile_images/446227606/DSC02118_normal.JPG"/>
    <s v="1749971040888029565"/>
    <s v="1749971040888029565"/>
    <m/>
    <s v=""/>
    <s v=""/>
    <s v=""/>
    <s v="1749971040888029565"/>
    <n v="63202181"/>
    <m/>
    <m/>
    <m/>
    <m/>
    <m/>
    <n v="1"/>
    <s v="1"/>
    <s v="1"/>
    <n v="0"/>
    <n v="0"/>
    <n v="1"/>
    <n v="4.3478260869565215"/>
    <n v="0"/>
    <n v="0"/>
    <n v="17"/>
    <n v="73.91304347826087"/>
    <n v="23"/>
  </r>
  <r>
    <s v="ritchieontrack"/>
    <s v="jamescrepea"/>
    <m/>
    <m/>
    <m/>
    <m/>
    <m/>
    <m/>
    <m/>
    <m/>
    <s v="No"/>
    <n v="51"/>
    <m/>
    <m/>
    <x v="1"/>
    <d v="2023-09-24T23:48:49.000"/>
    <s v="@Thavyxay @JamesCrepea Might be time for prime to lessen the hype. It does take a toll on his team like you said."/>
    <n v="0"/>
    <n v="1"/>
    <n v="0"/>
    <n v="0"/>
    <n v="85"/>
    <x v="1"/>
    <m/>
    <m/>
    <s v="thavyxay jamescrepea"/>
    <m/>
    <m/>
    <s v="Twitter for iPhone"/>
    <s v="en"/>
    <s v="https://twitter.com/ritchieontrack/status/1706093361046979004"/>
    <x v="32"/>
    <d v="2023-09-24T00:00:00.000"/>
    <s v="23:48:49"/>
    <m/>
    <s v="-122.805505,44.9855774 _x000a_-122.805505,45.027877 _x000a_-122.753657,45.027877 _x000a_-122.753657,44.9855774 _x000a_-122.805505,44.9855774"/>
    <s v="United States"/>
    <s v="US"/>
    <s v="Silverton, OR"/>
    <s v="646585c1270fdb39"/>
    <s v="Silverton"/>
    <s v="city"/>
    <m/>
    <m/>
    <m/>
    <m/>
    <m/>
    <s v="https://pbs.twimg.com/profile_images/1456067272/SFC_run__3_normal.jpg"/>
    <s v="1706093361046979004"/>
    <s v="1706006583661224441"/>
    <s v="27026887"/>
    <s v="1706081195661173246"/>
    <s v=""/>
    <s v=""/>
    <s v="1706081195661173246"/>
    <n v="121871722"/>
    <m/>
    <m/>
    <m/>
    <m/>
    <m/>
    <n v="1"/>
    <s v="20"/>
    <s v="20"/>
    <m/>
    <m/>
    <m/>
    <m/>
    <m/>
    <m/>
    <m/>
    <m/>
    <m/>
  </r>
  <r>
    <s v="seenadsgo"/>
    <s v="disableddoctor"/>
    <m/>
    <m/>
    <m/>
    <m/>
    <m/>
    <m/>
    <m/>
    <m/>
    <s v="No"/>
    <n v="53"/>
    <m/>
    <m/>
    <x v="1"/>
    <d v="2024-01-25T14:58:27.000"/>
    <s v="@galena_white @DisabledDoctor It’s exhausting &amp;amp; demoralizing to constantly have to fight for &amp;amp; justify your basic needs to strangers everywhere you go while also in pain &amp;amp; trying to do whatever you’re out doing. Its not only exhausting in the moment but takes a cumulative toll. Like a repetitive stress injury"/>
    <n v="0"/>
    <n v="3"/>
    <n v="0"/>
    <n v="0"/>
    <n v="29"/>
    <x v="1"/>
    <m/>
    <m/>
    <s v="galena_white disableddoctor"/>
    <m/>
    <m/>
    <s v="Twitter for iPhone"/>
    <s v="en"/>
    <s v="https://twitter.com/seenadsgo/status/1750533595117359173"/>
    <x v="33"/>
    <d v="2024-01-25T00:00:00.000"/>
    <s v="14:58:27"/>
    <m/>
    <m/>
    <m/>
    <m/>
    <m/>
    <m/>
    <m/>
    <m/>
    <m/>
    <m/>
    <m/>
    <m/>
    <m/>
    <s v="https://pbs.twimg.com/profile_images/3496131857/27b7dd6426f485f12e1ade72c3a257b7_normal.jpeg"/>
    <s v="1750533595117359173"/>
    <s v="1750169541735227447"/>
    <s v="1325323566288572418"/>
    <s v="1750459782706979170"/>
    <s v=""/>
    <s v=""/>
    <s v="1750459782706979170"/>
    <n v="931345868"/>
    <m/>
    <m/>
    <m/>
    <m/>
    <m/>
    <n v="1"/>
    <s v="19"/>
    <s v="19"/>
    <m/>
    <m/>
    <m/>
    <m/>
    <m/>
    <m/>
    <m/>
    <m/>
    <m/>
  </r>
  <r>
    <s v="zerocharisma"/>
    <s v="jazzie654"/>
    <m/>
    <m/>
    <m/>
    <m/>
    <m/>
    <m/>
    <m/>
    <m/>
    <s v="No"/>
    <n v="55"/>
    <m/>
    <m/>
    <x v="2"/>
    <d v="2023-03-08T00:21:05.000"/>
    <s v="@Jazzie654 Drivers need to have the toll ready to pay when passing through instead of holding up traffic!_x000a_🚚 🐘 😅"/>
    <n v="0"/>
    <n v="6"/>
    <n v="0"/>
    <n v="0"/>
    <n v="226"/>
    <x v="1"/>
    <m/>
    <m/>
    <s v="jazzie654"/>
    <m/>
    <m/>
    <s v="Twitter for Android"/>
    <s v="en"/>
    <s v="https://twitter.com/zerocharisma/status/1633261521764749312"/>
    <x v="34"/>
    <d v="2023-03-08T00:00:00.000"/>
    <s v="00:21:05"/>
    <m/>
    <s v="-123.122916,44.853813 _x000a_-123.122916,45.016355 _x000a_-122.935114,45.016355 _x000a_-122.935114,44.853813 _x000a_-123.122916,44.853813"/>
    <s v="United States"/>
    <s v="US"/>
    <s v="Salem, OR"/>
    <s v="c8022ca5114d7ea9"/>
    <s v="Salem"/>
    <s v="city"/>
    <m/>
    <m/>
    <m/>
    <m/>
    <m/>
    <s v="https://pbs.twimg.com/profile_images/1066205184815095809/thq4StbC_normal.jpg"/>
    <s v="1633261521764749312"/>
    <s v="1633241625005821954"/>
    <s v="167915369"/>
    <s v="1633241625005821954"/>
    <s v=""/>
    <s v=""/>
    <s v="1633241625005821954"/>
    <n v="7943142"/>
    <m/>
    <m/>
    <m/>
    <m/>
    <m/>
    <n v="1"/>
    <s v="57"/>
    <s v="57"/>
    <n v="1"/>
    <n v="5.555555555555555"/>
    <n v="1"/>
    <n v="5.555555555555555"/>
    <n v="0"/>
    <n v="0"/>
    <n v="8"/>
    <n v="44.44444444444444"/>
    <n v="18"/>
  </r>
  <r>
    <s v="minitruearchive"/>
    <s v="minitruearchive"/>
    <m/>
    <m/>
    <m/>
    <m/>
    <m/>
    <m/>
    <m/>
    <m/>
    <s v="No"/>
    <n v="56"/>
    <m/>
    <m/>
    <x v="3"/>
    <d v="2024-01-28T20:25:38.000"/>
    <s v="China will contain ‘demon’ outbreak, Xi says as death toll mounts_x000a__x000a_— January 28, 2020: South China Morning Post https://t.co/62fXJLxhOj"/>
    <n v="0"/>
    <n v="2"/>
    <n v="0"/>
    <n v="0"/>
    <n v="54"/>
    <x v="1"/>
    <m/>
    <m/>
    <m/>
    <s v="https://t.co/62fXJLxhOj https://pbs.twimg.com/media/GE9MrrLbIAAQCQ6.jpg"/>
    <s v="photo"/>
    <s v="Twitter for iPad"/>
    <s v="en"/>
    <s v="https://twitter.com/minitruearchive/status/1751703097620205710"/>
    <x v="35"/>
    <d v="2024-01-28T00:00:00.000"/>
    <s v="20:25:38"/>
    <b v="0"/>
    <m/>
    <m/>
    <m/>
    <m/>
    <m/>
    <m/>
    <m/>
    <s v="3_1751703093279137792"/>
    <m/>
    <m/>
    <m/>
    <m/>
    <s v="https://pbs.twimg.com/media/GE9MrrLbIAAQCQ6.jpg"/>
    <s v="1751703097620205710"/>
    <s v="1751703097620205710"/>
    <m/>
    <s v=""/>
    <s v=""/>
    <s v=""/>
    <s v="1751703097620205710"/>
    <s v="1252187964710326272"/>
    <m/>
    <m/>
    <m/>
    <m/>
    <m/>
    <n v="1"/>
    <s v="1"/>
    <s v="1"/>
    <n v="0"/>
    <n v="0"/>
    <n v="4"/>
    <n v="22.22222222222222"/>
    <n v="0"/>
    <n v="0"/>
    <n v="10"/>
    <n v="55.55555555555556"/>
    <n v="18"/>
  </r>
  <r>
    <s v="on_bicycle"/>
    <s v="carissasnewlife"/>
    <m/>
    <m/>
    <m/>
    <m/>
    <m/>
    <m/>
    <m/>
    <m/>
    <s v="No"/>
    <n v="57"/>
    <m/>
    <m/>
    <x v="1"/>
    <d v="2024-01-25T04:12:42.000"/>
    <s v="@cardiwithpearls @CarissasNewLife I am 44. I get mistaken for younger, but the fact is that facial expressions and gravity eventually take their toll on us all. Hell, I recently realized the lines in one part of my face are from always sleeping on my right side."/>
    <n v="0"/>
    <n v="3"/>
    <n v="1"/>
    <n v="0"/>
    <n v="136"/>
    <x v="1"/>
    <m/>
    <m/>
    <s v="cardiwithpearls carissasnewlife"/>
    <m/>
    <m/>
    <s v="Twitter for iPhone"/>
    <s v="en"/>
    <s v="https://twitter.com/on_bicycle/status/1750371089581264995"/>
    <x v="36"/>
    <d v="2024-01-25T00:00:00.000"/>
    <s v="04:12:42"/>
    <m/>
    <s v="-122.7900653,45.421863 _x000a_-122.7900653,45.6509405 _x000a_-122.471751,45.6509405 _x000a_-122.471751,45.421863 _x000a_-122.7900653,45.421863"/>
    <s v="United States"/>
    <s v="US"/>
    <s v="Portland, OR"/>
    <s v="ac88a4f17a51c7fc"/>
    <s v="Portland"/>
    <s v="city"/>
    <m/>
    <m/>
    <m/>
    <m/>
    <m/>
    <s v="https://pbs.twimg.com/profile_images/1179538510945980416/vHHbVeXI_normal.jpg"/>
    <s v="1750371089581264995"/>
    <s v="1750319951389348161"/>
    <s v="79879197"/>
    <s v="1750364861245112425"/>
    <s v=""/>
    <s v=""/>
    <s v="1750364861245112425"/>
    <s v="1070456589897756672"/>
    <m/>
    <m/>
    <m/>
    <m/>
    <m/>
    <n v="1"/>
    <s v="18"/>
    <s v="18"/>
    <m/>
    <m/>
    <m/>
    <m/>
    <m/>
    <m/>
    <m/>
    <m/>
    <m/>
  </r>
  <r>
    <s v="kythrawowalls"/>
    <s v="kythrawowalls"/>
    <m/>
    <m/>
    <m/>
    <m/>
    <m/>
    <m/>
    <m/>
    <m/>
    <s v="No"/>
    <n v="59"/>
    <m/>
    <m/>
    <x v="3"/>
    <d v="2024-01-27T06:52:38.000"/>
    <s v="All of the EU’s  efforts to create competition in the digital markets will be for  nothing. And Apple gets to send a clear signal: If you interrupt our  toll-booth operation, we’ll make you regret it, and we’ll make you pay.  Don’t resist, just let it be."/>
    <n v="0"/>
    <n v="0"/>
    <n v="0"/>
    <n v="0"/>
    <n v="8"/>
    <x v="1"/>
    <m/>
    <m/>
    <m/>
    <m/>
    <m/>
    <s v="Twitter Web App"/>
    <s v="en"/>
    <s v="https://twitter.com/kythrawowalls/status/1751136110875730312"/>
    <x v="37"/>
    <d v="2024-01-27T00:00:00.000"/>
    <s v="06:52:38"/>
    <m/>
    <m/>
    <m/>
    <m/>
    <m/>
    <m/>
    <m/>
    <m/>
    <m/>
    <m/>
    <m/>
    <m/>
    <m/>
    <s v="https://pbs.twimg.com/profile_images/1692369379374026752/d3z8o_79_normal.jpg"/>
    <s v="1751136110875730312"/>
    <s v="1751136110875730312"/>
    <m/>
    <s v=""/>
    <s v=""/>
    <s v=""/>
    <s v="1751136110875730312"/>
    <s v="1692008340207882240"/>
    <m/>
    <m/>
    <m/>
    <m/>
    <m/>
    <n v="1"/>
    <s v="1"/>
    <s v="1"/>
    <n v="1"/>
    <n v="1.9607843137254901"/>
    <n v="3"/>
    <n v="5.882352941176471"/>
    <n v="0"/>
    <n v="0"/>
    <n v="20"/>
    <n v="39.21568627450981"/>
    <n v="51"/>
  </r>
  <r>
    <s v="davidtaple90421"/>
    <s v="davidtaple90421"/>
    <m/>
    <m/>
    <m/>
    <m/>
    <m/>
    <m/>
    <m/>
    <m/>
    <s v="No"/>
    <n v="60"/>
    <m/>
    <m/>
    <x v="3"/>
    <d v="2023-10-10T18:51:13.000"/>
    <s v="🚨 BREAKING NEWS 🚨_x000a__x000a_DEATH TOLL RISES TO 14 DEAD AMERICANS..SINCE WE LOST AMERICANS WE HAVE THE RIGHT TO TAKE THEM OUT AS WELL"/>
    <n v="0"/>
    <n v="0"/>
    <n v="0"/>
    <n v="0"/>
    <n v="41"/>
    <x v="1"/>
    <m/>
    <m/>
    <m/>
    <m/>
    <m/>
    <s v="Twitter for Android"/>
    <s v="en"/>
    <s v="https://twitter.com/davidtaple90421/status/1711816674671034456"/>
    <x v="38"/>
    <d v="2023-10-10T00:00:00.000"/>
    <s v="18:51:13"/>
    <m/>
    <s v="-122.992994,44.958825 _x000a_-122.992994,45.01161 _x000a_-122.948448,45.01161 _x000a_-122.948448,44.958825 _x000a_-122.992994,44.958825"/>
    <s v="United States"/>
    <s v="US"/>
    <s v="Hayesville, OR"/>
    <s v="ef6bc9d58ea0c80b"/>
    <s v="Hayesville"/>
    <s v="city"/>
    <m/>
    <m/>
    <m/>
    <m/>
    <m/>
    <s v="https://pbs.twimg.com/profile_images/1698486847683350528/kTCyEJls_normal.jpg"/>
    <s v="1711816674671034456"/>
    <s v="1711816674671034456"/>
    <m/>
    <s v=""/>
    <s v=""/>
    <s v=""/>
    <s v="1711816674671034456"/>
    <s v="1660319368293781505"/>
    <m/>
    <m/>
    <m/>
    <m/>
    <m/>
    <n v="1"/>
    <s v="1"/>
    <s v="1"/>
    <n v="2"/>
    <n v="8.695652173913043"/>
    <n v="5"/>
    <n v="21.73913043478261"/>
    <n v="0"/>
    <n v="0"/>
    <n v="6"/>
    <n v="26.08695652173913"/>
    <n v="23"/>
  </r>
  <r>
    <s v="fairleyphoto"/>
    <s v="slavomiravac2"/>
    <m/>
    <m/>
    <m/>
    <m/>
    <m/>
    <m/>
    <m/>
    <m/>
    <s v="No"/>
    <n v="61"/>
    <m/>
    <m/>
    <x v="1"/>
    <d v="2023-07-04T20:46:58.000"/>
    <s v="@Suhlabs @toll_mathew @SlavomiraVac2 @lens_tales Mine is number 1, I vote for number 2."/>
    <n v="0"/>
    <n v="2"/>
    <n v="1"/>
    <n v="0"/>
    <n v="101"/>
    <x v="1"/>
    <m/>
    <m/>
    <s v="suhlabs toll_mathew slavomiravac2"/>
    <m/>
    <m/>
    <s v="Twitter for iPhone"/>
    <s v="en"/>
    <s v="https://twitter.com/fairleyphoto/status/1676331792742383617"/>
    <x v="39"/>
    <d v="2023-07-04T00:00:00.000"/>
    <s v="20:46:58"/>
    <m/>
    <s v="-122.7900653,45.421863 _x000a_-122.7900653,45.6509405 _x000a_-122.471751,45.6509405 _x000a_-122.471751,45.421863 _x000a_-122.7900653,45.421863"/>
    <s v="United States"/>
    <s v="US"/>
    <s v="Portland, OR"/>
    <s v="ac88a4f17a51c7fc"/>
    <s v="Portland"/>
    <s v="city"/>
    <m/>
    <m/>
    <m/>
    <m/>
    <m/>
    <s v="https://pbs.twimg.com/profile_images/1234302995874992129/BEsGJNSf_normal.jpg"/>
    <s v="1676331792742383617"/>
    <s v="1675243298833956864"/>
    <s v="893467965273759745"/>
    <s v="1675577506504806401"/>
    <s v=""/>
    <s v=""/>
    <s v="1675577506504806401"/>
    <s v="1234302648859316224"/>
    <m/>
    <m/>
    <m/>
    <m/>
    <m/>
    <n v="1"/>
    <s v="9"/>
    <s v="9"/>
    <m/>
    <m/>
    <m/>
    <m/>
    <m/>
    <m/>
    <m/>
    <m/>
    <m/>
  </r>
  <r>
    <s v="gcsaa_nw"/>
    <s v="gcsaa_nw"/>
    <m/>
    <m/>
    <m/>
    <m/>
    <m/>
    <m/>
    <m/>
    <m/>
    <s v="No"/>
    <n v="64"/>
    <m/>
    <m/>
    <x v="3"/>
    <d v="2023-11-21T22:53:45.000"/>
    <s v="Who do you go to when your job starts taking a toll? One of my NW Chapters is taking a proactive step._x000a_https://t.co/UclvboeOkI_x000a_#MentalHealthSupport https://t.co/4dG2zLRaQs"/>
    <n v="0"/>
    <n v="9"/>
    <n v="2"/>
    <n v="0"/>
    <n v="2531"/>
    <x v="6"/>
    <s v="https://www.gcsaa.org/resources/regional-resources/northwest/northwest-blog/2023/11/21/creating-an-emotional-support-network"/>
    <s v="gcsaa.org"/>
    <m/>
    <s v="https://t.co/4dG2zLRaQs https://pbs.twimg.com/media/F_fiekabYAAQv9j.jpg"/>
    <s v="photo"/>
    <s v="Twitter for Android"/>
    <s v="en"/>
    <s v="https://twitter.com/gcsaa_nw/status/1727097998881239378"/>
    <x v="40"/>
    <d v="2023-11-21T00:00:00.000"/>
    <s v="22:53:45"/>
    <b v="0"/>
    <s v="-122.6395145,45.309499 _x000a_-122.6395145,45.38075 _x000a_-122.551968,45.38075 _x000a_-122.551968,45.309499 _x000a_-122.6395145,45.309499"/>
    <s v="United States"/>
    <s v="US"/>
    <s v="Oregon City, OR"/>
    <s v="93207bd39d52ef34"/>
    <s v="Oregon City"/>
    <s v="city"/>
    <s v="3_1727097996918349824"/>
    <m/>
    <m/>
    <m/>
    <m/>
    <s v="https://pbs.twimg.com/media/F_fiekabYAAQv9j.jpg"/>
    <s v="1727097998881239378"/>
    <s v="1727097998881239378"/>
    <m/>
    <s v=""/>
    <s v=""/>
    <s v=""/>
    <s v="1727097998881239378"/>
    <n v="513597380"/>
    <m/>
    <m/>
    <m/>
    <m/>
    <m/>
    <n v="1"/>
    <s v="1"/>
    <s v="1"/>
    <n v="1"/>
    <n v="4.3478260869565215"/>
    <n v="1"/>
    <n v="4.3478260869565215"/>
    <n v="0"/>
    <n v="0"/>
    <n v="10"/>
    <n v="43.47826086956522"/>
    <n v="23"/>
  </r>
  <r>
    <s v="coachbalto"/>
    <s v="senjeffmerkley"/>
    <m/>
    <m/>
    <m/>
    <m/>
    <m/>
    <m/>
    <m/>
    <m/>
    <s v="No"/>
    <n v="65"/>
    <m/>
    <m/>
    <x v="4"/>
    <d v="2023-12-16T00:01:46.000"/>
    <s v="Really not sure how this is a game changer for Oregonians. People from Washington use the bridge much more. Oregonians are subsidizing driving for people from Washington. Toll the bridge."/>
    <n v="1"/>
    <n v="22"/>
    <n v="0"/>
    <n v="0"/>
    <n v="2127"/>
    <x v="1"/>
    <m/>
    <m/>
    <m/>
    <m/>
    <m/>
    <s v="Twitter for iPhone"/>
    <s v="en"/>
    <s v="https://twitter.com/coachbalto/status/1735812424413155787"/>
    <x v="41"/>
    <d v="2023-12-16T00:00:00.000"/>
    <s v="00:01:46"/>
    <m/>
    <s v="-122.7900653,45.421863 _x000a_-122.7900653,45.6509405 _x000a_-122.471751,45.6509405 _x000a_-122.471751,45.421863 _x000a_-122.7900653,45.421863"/>
    <s v="United States"/>
    <s v="US"/>
    <s v="Portland, OR"/>
    <s v="ac88a4f17a51c7fc"/>
    <s v="Portland"/>
    <s v="city"/>
    <m/>
    <m/>
    <m/>
    <m/>
    <m/>
    <s v="https://pbs.twimg.com/profile_images/1523016859498385408/NR9h054S_normal.jpg"/>
    <s v="1735812424413155787"/>
    <s v="1735812424413155787"/>
    <m/>
    <s v=""/>
    <s v="1735798109244997882"/>
    <s v=""/>
    <s v="1735798109244997882"/>
    <n v="2808136894"/>
    <m/>
    <m/>
    <m/>
    <m/>
    <m/>
    <n v="1"/>
    <s v="3"/>
    <s v="3"/>
    <n v="1"/>
    <n v="3.3333333333333335"/>
    <n v="1"/>
    <n v="3.3333333333333335"/>
    <n v="0"/>
    <n v="0"/>
    <n v="16"/>
    <n v="53.333333333333336"/>
    <n v="30"/>
  </r>
  <r>
    <s v="bucketyboo_96"/>
    <s v="bucketyboo_96"/>
    <m/>
    <m/>
    <m/>
    <m/>
    <m/>
    <m/>
    <m/>
    <m/>
    <s v="No"/>
    <n v="66"/>
    <m/>
    <m/>
    <x v="3"/>
    <d v="2023-03-08T02:07:40.000"/>
    <s v="Love my job but being surrounded by people constantly telling you how much pain they’re in definetly takes a toll on you."/>
    <n v="0"/>
    <n v="2"/>
    <n v="0"/>
    <n v="0"/>
    <n v="153"/>
    <x v="1"/>
    <m/>
    <m/>
    <m/>
    <m/>
    <m/>
    <s v="Twitter for iPhone"/>
    <s v="en"/>
    <s v="https://twitter.com/bucketyboo_96/status/1633288341922910208"/>
    <x v="42"/>
    <d v="2023-03-08T00:00:00.000"/>
    <s v="02:07:40"/>
    <m/>
    <s v="-122.867581,45.426386 _x000a_-122.867581,45.543398 _x000a_-122.743577,45.543398 _x000a_-122.743577,45.426386 _x000a_-122.867581,45.426386"/>
    <s v="United States"/>
    <s v="US"/>
    <s v="Beaverton, OR"/>
    <s v="e0c5378910ca41e0"/>
    <s v="Beaverton"/>
    <s v="city"/>
    <m/>
    <m/>
    <m/>
    <m/>
    <m/>
    <s v="https://pbs.twimg.com/profile_images/1746604526743015424/mMHfJZL9_normal.jpg"/>
    <s v="1633288341922910208"/>
    <s v="1633288341922910208"/>
    <m/>
    <s v=""/>
    <s v=""/>
    <s v=""/>
    <s v="1633288341922910208"/>
    <n v="636629755"/>
    <m/>
    <m/>
    <m/>
    <m/>
    <m/>
    <n v="1"/>
    <s v="1"/>
    <s v="1"/>
    <n v="1"/>
    <n v="4.3478260869565215"/>
    <n v="2"/>
    <n v="8.695652173913043"/>
    <n v="0"/>
    <n v="0"/>
    <n v="10"/>
    <n v="43.47826086956522"/>
    <n v="23"/>
  </r>
  <r>
    <s v="anniesong62"/>
    <s v="anniesong62"/>
    <m/>
    <m/>
    <m/>
    <m/>
    <m/>
    <m/>
    <m/>
    <m/>
    <s v="No"/>
    <n v="67"/>
    <m/>
    <m/>
    <x v="3"/>
    <d v="2023-08-12T02:45:07.000"/>
    <s v="67 is the latest death toll on Lahaina Maui _x000a_Please continue to post,pray,and donate... Besides the local's devastation and loss .. homes, businesses,...LIFE! _x000a_THERE'S SO much beautiful landscape,and history lost .. just in this one area..._x000a_#Maui_x000a_#Lahaina_x000a_#Hawaiifire"/>
    <n v="0"/>
    <n v="0"/>
    <n v="0"/>
    <n v="0"/>
    <n v="400"/>
    <x v="7"/>
    <m/>
    <m/>
    <m/>
    <m/>
    <m/>
    <s v="Twitter for Android"/>
    <s v="en"/>
    <s v="https://twitter.com/anniesong62/status/1690192659791704064"/>
    <x v="43"/>
    <d v="2023-08-12T00:00:00.000"/>
    <s v="02:45:07"/>
    <m/>
    <s v="-122.807286,45.281815 _x000a_-122.807286,45.340517 _x000a_-122.742838,45.340517 _x000a_-122.742838,45.281815 _x000a_-122.807286,45.281815"/>
    <s v="United States"/>
    <s v="US"/>
    <s v="Wilsonville, OR"/>
    <s v="b08b39af5eca8b4c"/>
    <s v="Wilsonville"/>
    <s v="city"/>
    <m/>
    <m/>
    <m/>
    <m/>
    <m/>
    <s v="https://pbs.twimg.com/profile_images/1751807777172070400/GsQe2T-m_normal.jpg"/>
    <s v="1690192659791704064"/>
    <s v="1690192659791704064"/>
    <m/>
    <s v=""/>
    <s v=""/>
    <s v=""/>
    <s v="1690192659791704064"/>
    <s v="1225930234819559424"/>
    <m/>
    <m/>
    <m/>
    <m/>
    <m/>
    <n v="1"/>
    <s v="1"/>
    <s v="1"/>
    <n v="1"/>
    <n v="2.4390243902439024"/>
    <n v="5"/>
    <n v="12.195121951219512"/>
    <n v="0"/>
    <n v="0"/>
    <n v="21"/>
    <n v="51.21951219512195"/>
    <n v="41"/>
  </r>
  <r>
    <s v="gregormacdonald"/>
    <s v="redbuckman"/>
    <m/>
    <m/>
    <m/>
    <m/>
    <m/>
    <m/>
    <m/>
    <m/>
    <s v="No"/>
    <n v="68"/>
    <m/>
    <m/>
    <x v="2"/>
    <d v="2024-01-25T23:04:57.000"/>
    <s v="@redbuckman My framing wrt to US LNG exports entirely excludes growth of wind and solar here in the US. Just not related, imo, at all. Rather, this is about the prospect that wind and solar growth would be curtailed in ROW as Hey Hey! Cheap NG for all takes its toll."/>
    <n v="0"/>
    <n v="1"/>
    <n v="1"/>
    <n v="0"/>
    <n v="42"/>
    <x v="1"/>
    <m/>
    <m/>
    <s v="redbuckman"/>
    <m/>
    <m/>
    <s v="Twitter Web App"/>
    <s v="en"/>
    <s v="https://twitter.com/gregormacdonald/status/1750656027555754361"/>
    <x v="44"/>
    <d v="2024-01-25T00:00:00.000"/>
    <s v="23:04:57"/>
    <m/>
    <m/>
    <m/>
    <m/>
    <m/>
    <m/>
    <m/>
    <m/>
    <m/>
    <m/>
    <m/>
    <m/>
    <m/>
    <s v="https://pbs.twimg.com/profile_images/805548263352848384/bpQMzqgY_normal.jpg"/>
    <s v="1750656027555754361"/>
    <s v="1750653290352988177"/>
    <s v="1192866949375639552"/>
    <s v="1750655573526237267"/>
    <s v=""/>
    <s v=""/>
    <s v="1750655573526237267"/>
    <n v="12329252"/>
    <m/>
    <m/>
    <m/>
    <m/>
    <m/>
    <n v="1"/>
    <s v="56"/>
    <s v="56"/>
    <n v="0"/>
    <n v="0"/>
    <n v="2"/>
    <n v="3.9215686274509802"/>
    <n v="0"/>
    <n v="0"/>
    <n v="22"/>
    <n v="43.13725490196079"/>
    <n v="51"/>
  </r>
  <r>
    <s v="stumptowngrrl"/>
    <s v="oregoncitizen_"/>
    <m/>
    <m/>
    <m/>
    <m/>
    <m/>
    <m/>
    <m/>
    <m/>
    <s v="No"/>
    <n v="69"/>
    <m/>
    <m/>
    <x v="2"/>
    <d v="2024-01-28T07:36:02.000"/>
    <s v="@oregoncitizen_ I plan on driving whatever twisted backroad route I can find without a toll. 80% of Portlanders will do the same. Watch potholes, accidents and pedestrian casualties skyrocket."/>
    <n v="0"/>
    <n v="6"/>
    <n v="1"/>
    <n v="0"/>
    <n v="121"/>
    <x v="1"/>
    <m/>
    <m/>
    <s v="oregoncitizen_"/>
    <m/>
    <m/>
    <s v="Twitter for Android"/>
    <s v="en"/>
    <s v="https://twitter.com/stumptowngrrl/status/1751509424005615896"/>
    <x v="45"/>
    <d v="2024-01-28T00:00:00.000"/>
    <s v="07:36:02"/>
    <m/>
    <m/>
    <m/>
    <m/>
    <m/>
    <m/>
    <m/>
    <m/>
    <m/>
    <m/>
    <m/>
    <m/>
    <m/>
    <s v="https://pbs.twimg.com/profile_images/1360505129548435458/8BWst4aF_normal.jpg"/>
    <s v="1751509424005615896"/>
    <s v="1751318596373168213"/>
    <s v="1135368066"/>
    <s v="1751318596373168213"/>
    <s v=""/>
    <s v=""/>
    <s v="1751318596373168213"/>
    <s v="846192648549351425"/>
    <m/>
    <m/>
    <m/>
    <m/>
    <m/>
    <n v="1"/>
    <s v="2"/>
    <s v="2"/>
    <n v="0"/>
    <n v="0"/>
    <n v="2"/>
    <n v="6.896551724137931"/>
    <n v="0"/>
    <n v="0"/>
    <n v="17"/>
    <n v="58.62068965517241"/>
    <n v="29"/>
  </r>
  <r>
    <s v="aquabluelounge"/>
    <s v="aquabluelounge"/>
    <m/>
    <m/>
    <m/>
    <m/>
    <m/>
    <m/>
    <m/>
    <m/>
    <s v="No"/>
    <n v="70"/>
    <m/>
    <m/>
    <x v="2"/>
    <d v="2023-03-13T19:15:12.000"/>
    <s v="@SamHouston92 @seattletimes https://t.co/E9ifIizAql death toll rising! Governor Newsome banned gas cars! Newsome EV policy is a killer!!"/>
    <n v="0"/>
    <n v="1"/>
    <n v="0"/>
    <n v="0"/>
    <n v="131"/>
    <x v="1"/>
    <s v="https://www.nytimes.com/2023/03/08/us/san-bernardino-snow-storm-deaths.html"/>
    <s v="nytimes.com"/>
    <s v="seattletimes"/>
    <m/>
    <m/>
    <s v="Twitter for Android"/>
    <s v="en"/>
    <s v="https://twitter.com/aquabluelounge/status/1635358869835907073"/>
    <x v="46"/>
    <d v="2023-03-13T00:00:00.000"/>
    <s v="19:15:12"/>
    <b v="0"/>
    <s v="-122.7900653,45.421863 _x000a_-122.7900653,45.6509405 _x000a_-122.471751,45.6509405 _x000a_-122.471751,45.421863 _x000a_-122.7900653,45.421863"/>
    <s v="United States"/>
    <s v="US"/>
    <s v="Portland, OR"/>
    <s v="ac88a4f17a51c7fc"/>
    <s v="Portland"/>
    <s v="city"/>
    <m/>
    <m/>
    <m/>
    <m/>
    <m/>
    <s v="https://pbs.twimg.com/profile_images/1743398343626342400/puH3vfCb_normal.jpg"/>
    <s v="1635358869835907073"/>
    <s v="1635291042160467979"/>
    <s v="815745130078445568"/>
    <s v="1635356019886014464"/>
    <s v=""/>
    <s v=""/>
    <s v="1635356019886014464"/>
    <s v="815745130078445568"/>
    <m/>
    <m/>
    <m/>
    <m/>
    <m/>
    <n v="1"/>
    <s v="1"/>
    <s v="1"/>
    <n v="0"/>
    <n v="0"/>
    <n v="3"/>
    <n v="18.75"/>
    <n v="0"/>
    <n v="0"/>
    <n v="11"/>
    <n v="68.75"/>
    <n v="16"/>
  </r>
  <r>
    <s v="maxbelousovgg"/>
    <s v="oregondot"/>
    <m/>
    <m/>
    <m/>
    <m/>
    <m/>
    <m/>
    <m/>
    <m/>
    <s v="No"/>
    <n v="71"/>
    <m/>
    <m/>
    <x v="5"/>
    <d v="2024-01-29T06:44:36.000"/>
    <s v="Tell @OregonDOT to shove that toll where the sun don't shine"/>
    <n v="0"/>
    <n v="0"/>
    <n v="0"/>
    <n v="0"/>
    <n v="8"/>
    <x v="1"/>
    <m/>
    <m/>
    <s v="oregondot"/>
    <m/>
    <m/>
    <s v="Twitter for Android"/>
    <s v="en"/>
    <s v="https://twitter.com/maxbelousovgg/status/1751858866869166451"/>
    <x v="47"/>
    <d v="2024-01-29T00:00:00.000"/>
    <s v="06:44:36"/>
    <m/>
    <m/>
    <m/>
    <m/>
    <m/>
    <m/>
    <m/>
    <m/>
    <m/>
    <m/>
    <m/>
    <m/>
    <m/>
    <s v="https://pbs.twimg.com/profile_images/1586113785034838017/1IjvbCSZ_normal.jpg"/>
    <s v="1751858866869166451"/>
    <s v="1751858866869166451"/>
    <m/>
    <s v=""/>
    <s v="1747757980383121613"/>
    <s v=""/>
    <s v="1747757980383121613"/>
    <s v="1586110371202756610"/>
    <m/>
    <m/>
    <m/>
    <m/>
    <m/>
    <n v="1"/>
    <s v="2"/>
    <s v="2"/>
    <n v="1"/>
    <n v="9.090909090909092"/>
    <n v="1"/>
    <n v="9.090909090909092"/>
    <n v="0"/>
    <n v="0"/>
    <n v="4"/>
    <n v="36.36363636363637"/>
    <n v="11"/>
  </r>
  <r>
    <s v="katesattler"/>
    <s v="lupus_chat"/>
    <m/>
    <m/>
    <m/>
    <m/>
    <m/>
    <m/>
    <m/>
    <m/>
    <s v="No"/>
    <n v="73"/>
    <m/>
    <m/>
    <x v="2"/>
    <d v="2024-01-29T06:47:19.000"/>
    <s v="@Lupus_Chat A5 The perennial struggle of too many ideas/projects and not enough energy. The psychological toll of isolation and debilitation. If I can at least maintain a baseline vs experiencing new symptoms and treatments, that will help (fingers crossed!) #LupusChat"/>
    <n v="0"/>
    <n v="1"/>
    <n v="0"/>
    <n v="0"/>
    <n v="18"/>
    <x v="8"/>
    <m/>
    <m/>
    <s v="lupus_chat"/>
    <m/>
    <m/>
    <s v="Twitter for iPhone"/>
    <s v="en"/>
    <s v="https://twitter.com/katesattler/status/1751859548636471391"/>
    <x v="48"/>
    <d v="2024-01-29T00:00:00.000"/>
    <s v="06:47:19"/>
    <m/>
    <m/>
    <m/>
    <m/>
    <m/>
    <m/>
    <m/>
    <m/>
    <m/>
    <m/>
    <m/>
    <m/>
    <m/>
    <s v="https://pbs.twimg.com/profile_images/1745285983845933056/Vt_MUDXB_normal.jpg"/>
    <s v="1751859548636471391"/>
    <s v="1751708241363636296"/>
    <s v="345790395"/>
    <s v="1751708241363636296"/>
    <s v=""/>
    <s v=""/>
    <s v="1751708241363636296"/>
    <n v="250872552"/>
    <m/>
    <m/>
    <m/>
    <m/>
    <m/>
    <n v="1"/>
    <s v="55"/>
    <s v="55"/>
    <n v="1"/>
    <n v="2.4390243902439024"/>
    <n v="4"/>
    <n v="9.75609756097561"/>
    <n v="0"/>
    <n v="0"/>
    <n v="18"/>
    <n v="43.90243902439025"/>
    <n v="41"/>
  </r>
  <r>
    <s v="ohsubrain"/>
    <s v="oregonlive"/>
    <m/>
    <m/>
    <m/>
    <m/>
    <m/>
    <m/>
    <m/>
    <m/>
    <s v="No"/>
    <n v="74"/>
    <m/>
    <m/>
    <x v="0"/>
    <d v="2024-01-21T21:14:00.000"/>
    <s v="&quot;This crisis is taking a toll on law enforcement, ambulance and healthcare professionals...The situation is untenable.&quot; https://t.co/yj4j2Qal4f via @oregonlive"/>
    <n v="0"/>
    <n v="1"/>
    <n v="0"/>
    <n v="0"/>
    <n v="220"/>
    <x v="1"/>
    <s v="http://spr.ly/6014rxXTi"/>
    <s v="spr.ly"/>
    <s v="oregonlive"/>
    <m/>
    <m/>
    <s v="Sprinklr"/>
    <s v="en"/>
    <s v="https://twitter.com/ohsubrain/status/1749178556813394317"/>
    <x v="49"/>
    <d v="2024-01-21T00:00:00.000"/>
    <s v="21:14:00"/>
    <b v="0"/>
    <m/>
    <m/>
    <m/>
    <m/>
    <m/>
    <m/>
    <m/>
    <m/>
    <m/>
    <m/>
    <m/>
    <m/>
    <s v="https://pbs.twimg.com/profile_images/1675902825338130432/ZYzUUDgm_normal.jpg"/>
    <s v="1749178556813394317"/>
    <s v="1749178556813394317"/>
    <m/>
    <s v=""/>
    <s v=""/>
    <s v=""/>
    <s v="1749178556813394317"/>
    <n v="454235500"/>
    <m/>
    <m/>
    <m/>
    <m/>
    <m/>
    <n v="1"/>
    <s v="54"/>
    <s v="54"/>
    <n v="0"/>
    <n v="0"/>
    <n v="3"/>
    <n v="15.789473684210526"/>
    <n v="0"/>
    <n v="0"/>
    <n v="8"/>
    <n v="42.10526315789474"/>
    <n v="19"/>
  </r>
  <r>
    <s v="senjeffmerkley"/>
    <s v="usdot"/>
    <m/>
    <m/>
    <m/>
    <m/>
    <m/>
    <m/>
    <m/>
    <m/>
    <s v="No"/>
    <n v="75"/>
    <m/>
    <m/>
    <x v="0"/>
    <d v="2023-12-15T23:04:53.000"/>
    <s v="HUGE. It’s a game changer for Oregonians. After intense bipartisan teamwork, we’ve secured $600M in @USDOT funding for the critically important I-5 bridge replacement project. https://t.co/NfjsHvujQI"/>
    <n v="51"/>
    <n v="301"/>
    <n v="85"/>
    <n v="10"/>
    <n v="19563"/>
    <x v="1"/>
    <s v="https://www.kgw.com/article/news/local/interstate-bridge-replacement-first-federal-funding/283-ee7735d4-4c90-4f7c-92d7-55069cb98bca"/>
    <s v="kgw.com"/>
    <s v="usdot"/>
    <m/>
    <m/>
    <s v="Twitter Web App"/>
    <s v="en"/>
    <s v="https://twitter.com/senjeffmerkley/status/1735798109244997882"/>
    <x v="50"/>
    <d v="2023-12-15T00:00:00.000"/>
    <s v="23:04:53"/>
    <b v="0"/>
    <m/>
    <m/>
    <m/>
    <m/>
    <m/>
    <m/>
    <m/>
    <m/>
    <m/>
    <m/>
    <m/>
    <m/>
    <s v="https://pbs.twimg.com/profile_images/873324219630854144/-7ZzOONo_normal.jpg"/>
    <s v="1735798109244997882"/>
    <s v="1735798109244997882"/>
    <m/>
    <s v=""/>
    <s v=""/>
    <s v=""/>
    <s v="1735798109244997882"/>
    <n v="29201047"/>
    <m/>
    <m/>
    <m/>
    <m/>
    <m/>
    <n v="1"/>
    <s v="3"/>
    <s v="3"/>
    <n v="1"/>
    <n v="3.5714285714285716"/>
    <n v="1"/>
    <n v="3.5714285714285716"/>
    <n v="0"/>
    <n v="0"/>
    <n v="15"/>
    <n v="53.57142857142857"/>
    <n v="28"/>
  </r>
  <r>
    <s v="luke_the_duke00"/>
    <s v="luke_the_duke00"/>
    <m/>
    <m/>
    <m/>
    <m/>
    <m/>
    <m/>
    <m/>
    <m/>
    <s v="No"/>
    <n v="76"/>
    <m/>
    <m/>
    <x v="3"/>
    <d v="2023-11-17T23:47:34.000"/>
    <s v="Thank God ion gotta work this weekend, this year has been taking a toll on ya boy, working hella Saturdays &amp;amp; some Sundays. 😭😭😭😭"/>
    <n v="0"/>
    <n v="0"/>
    <n v="0"/>
    <n v="0"/>
    <n v="30"/>
    <x v="1"/>
    <m/>
    <m/>
    <m/>
    <m/>
    <m/>
    <s v="Twitter for iPhone"/>
    <s v="en"/>
    <s v="https://twitter.com/luke_the_duke00/status/1725661990784532884"/>
    <x v="51"/>
    <d v="2023-11-17T00:00:00.000"/>
    <s v="23:47:34"/>
    <m/>
    <s v="-122.7900653,45.421863 _x000a_-122.7900653,45.6509405 _x000a_-122.471751,45.6509405 _x000a_-122.471751,45.421863 _x000a_-122.7900653,45.421863"/>
    <s v="United States"/>
    <s v="US"/>
    <s v="Portland, OR"/>
    <s v="ac88a4f17a51c7fc"/>
    <s v="Portland"/>
    <s v="city"/>
    <m/>
    <m/>
    <m/>
    <m/>
    <m/>
    <s v="https://pbs.twimg.com/profile_images/1694180899079000064/qaRDpEuf_normal.jpg"/>
    <s v="1725661990784532884"/>
    <s v="1725661990784532884"/>
    <m/>
    <s v=""/>
    <s v=""/>
    <s v=""/>
    <s v="1725661990784532884"/>
    <s v="1305612174304227328"/>
    <m/>
    <m/>
    <m/>
    <m/>
    <m/>
    <n v="1"/>
    <s v="1"/>
    <s v="1"/>
    <n v="2"/>
    <n v="8.695652173913043"/>
    <n v="1"/>
    <n v="4.3478260869565215"/>
    <n v="0"/>
    <n v="0"/>
    <n v="11"/>
    <n v="47.82608695652174"/>
    <n v="23"/>
  </r>
  <r>
    <s v="toonimator"/>
    <s v="quigonjenna"/>
    <m/>
    <m/>
    <m/>
    <m/>
    <m/>
    <m/>
    <m/>
    <m/>
    <s v="No"/>
    <n v="77"/>
    <m/>
    <m/>
    <x v="1"/>
    <d v="2024-01-27T19:01:33.000"/>
    <s v="@MarkCeleste2727 @QuiGonJenna Asteroids wouldn’t have such gravity. _x000a__x000a_Han &amp;amp; Leia &amp;amp; Chewie have masks on over their mouths &amp;amp; nose, but no other protective gear. And Leia in TLJ was only out in space a couple minutes, and it clearly took a toll given her being placed in a medical pod afterwards."/>
    <n v="0"/>
    <n v="0"/>
    <n v="1"/>
    <n v="0"/>
    <n v="37"/>
    <x v="1"/>
    <m/>
    <m/>
    <s v="markceleste2727 quigonjenna"/>
    <m/>
    <m/>
    <s v="Twitter for iPhone"/>
    <s v="en"/>
    <s v="https://twitter.com/toonimator/status/1751319552162754926"/>
    <x v="52"/>
    <d v="2024-01-27T00:00:00.000"/>
    <s v="19:01:33"/>
    <m/>
    <m/>
    <m/>
    <m/>
    <m/>
    <m/>
    <m/>
    <m/>
    <m/>
    <m/>
    <m/>
    <m/>
    <m/>
    <s v="https://pbs.twimg.com/profile_images/1741678371434807296/1vFvxkHb_normal.jpg"/>
    <s v="1751319552162754926"/>
    <s v="1751271010878287976"/>
    <s v="2960838353"/>
    <s v="1751311649972064317"/>
    <s v=""/>
    <s v=""/>
    <s v="1751311649972064317"/>
    <n v="393650365"/>
    <m/>
    <m/>
    <m/>
    <m/>
    <m/>
    <n v="1"/>
    <s v="17"/>
    <s v="17"/>
    <m/>
    <m/>
    <m/>
    <m/>
    <m/>
    <m/>
    <m/>
    <m/>
    <m/>
  </r>
  <r>
    <s v="robotvirgin"/>
    <s v="robotvirgin"/>
    <m/>
    <m/>
    <m/>
    <m/>
    <m/>
    <m/>
    <m/>
    <m/>
    <s v="No"/>
    <n v="79"/>
    <m/>
    <m/>
    <x v="2"/>
    <d v="2023-10-28T02:25:46.000"/>
    <s v="“The Gaza death toll tonight is now at 6,500. In 18 days._x000a__x000a_• Is that your ‘team’ Joe Biden_x000a_• Is that your ‘win’ Rishi Sunak_x000a_• Is that Israel’s ‘right’ Keir Starmer_x000a__x000a_War mongers” - Howard Beckett!"/>
    <n v="0"/>
    <n v="0"/>
    <n v="1"/>
    <n v="0"/>
    <n v="96"/>
    <x v="1"/>
    <m/>
    <m/>
    <m/>
    <m/>
    <m/>
    <s v="Twitter for iPhone"/>
    <s v="en"/>
    <s v="https://twitter.com/robotvirgin/status/1718091656577290258"/>
    <x v="53"/>
    <d v="2023-10-28T00:00:00.000"/>
    <s v="02:25:46"/>
    <m/>
    <s v="-122.7900653,45.421863 _x000a_-122.7900653,45.6509405 _x000a_-122.471751,45.6509405 _x000a_-122.471751,45.421863 _x000a_-122.7900653,45.421863"/>
    <s v="United States"/>
    <s v="US"/>
    <s v="Portland, OR"/>
    <s v="ac88a4f17a51c7fc"/>
    <s v="Portland"/>
    <s v="city"/>
    <m/>
    <m/>
    <m/>
    <m/>
    <m/>
    <s v="https://pbs.twimg.com/profile_images/780984509294534656/U9r2eId9_normal.jpg"/>
    <s v="1718091656577290258"/>
    <s v="1718091445150880174"/>
    <s v="113248179"/>
    <s v="1718091445150880174"/>
    <s v=""/>
    <s v=""/>
    <s v="1718091445150880174"/>
    <n v="113248179"/>
    <m/>
    <m/>
    <m/>
    <m/>
    <m/>
    <n v="1"/>
    <s v="1"/>
    <s v="1"/>
    <n v="2"/>
    <n v="5.555555555555555"/>
    <n v="2"/>
    <n v="5.555555555555555"/>
    <n v="0"/>
    <n v="0"/>
    <n v="17"/>
    <n v="47.22222222222222"/>
    <n v="36"/>
  </r>
  <r>
    <s v="shooty_mcbooty"/>
    <s v="steakfrankhouse"/>
    <m/>
    <m/>
    <m/>
    <m/>
    <m/>
    <m/>
    <m/>
    <m/>
    <s v="No"/>
    <n v="80"/>
    <m/>
    <m/>
    <x v="2"/>
    <d v="2024-01-24T15:02:59.000"/>
    <s v="@SteakFrankhouse If X was around back then, the death toll would’ve doubled."/>
    <n v="0"/>
    <n v="3"/>
    <n v="0"/>
    <n v="0"/>
    <n v="52"/>
    <x v="1"/>
    <m/>
    <m/>
    <s v="steakfrankhouse"/>
    <m/>
    <m/>
    <s v="Twitter for iPhone"/>
    <s v="en"/>
    <s v="https://twitter.com/shooty_mcbooty/status/1750172350073696433"/>
    <x v="54"/>
    <d v="2024-01-24T00:00:00.000"/>
    <s v="15:02:59"/>
    <m/>
    <m/>
    <m/>
    <m/>
    <m/>
    <m/>
    <m/>
    <m/>
    <m/>
    <m/>
    <m/>
    <m/>
    <m/>
    <s v="https://pbs.twimg.com/profile_images/1365860689361862657/4Mg2YzeF_normal.jpg"/>
    <s v="1750172350073696433"/>
    <s v="1750127256742051964"/>
    <s v="1229510264074141696"/>
    <s v="1750127256742051964"/>
    <s v=""/>
    <s v=""/>
    <s v="1750127256742051964"/>
    <s v="1104433853110743040"/>
    <m/>
    <m/>
    <m/>
    <m/>
    <m/>
    <n v="1"/>
    <s v="53"/>
    <s v="53"/>
    <n v="0"/>
    <n v="0"/>
    <n v="2"/>
    <n v="15.384615384615385"/>
    <n v="0"/>
    <n v="0"/>
    <n v="6"/>
    <n v="46.15384615384615"/>
    <n v="13"/>
  </r>
  <r>
    <s v="theemsmolly"/>
    <s v="greg16676935420"/>
    <m/>
    <m/>
    <m/>
    <m/>
    <m/>
    <m/>
    <m/>
    <m/>
    <s v="No"/>
    <n v="81"/>
    <m/>
    <m/>
    <x v="2"/>
    <d v="2023-02-19T23:04:42.000"/>
    <s v="@greg16676935420 It's like I want to...but I know what it's like to not be able to afford it...so on behalf of those individuals, unless you're streaming me a service I'm not down for the monthly payment I'm also not for toll's or anything that unevens the playing field 🏑"/>
    <n v="0"/>
    <n v="0"/>
    <n v="0"/>
    <n v="0"/>
    <n v="171"/>
    <x v="1"/>
    <m/>
    <m/>
    <s v="greg16676935420"/>
    <m/>
    <m/>
    <s v="Twitter for Android"/>
    <s v="en"/>
    <s v="https://twitter.com/theemsmolly/status/1627444091712831488"/>
    <x v="55"/>
    <d v="2023-02-19T00:00:00.000"/>
    <s v="23:04:42"/>
    <m/>
    <s v="-122.857378,45.527087 _x000a_-122.857378,45.555039 _x000a_-122.824348,45.555039 _x000a_-122.824348,45.527087 _x000a_-122.857378,45.527087"/>
    <s v="United States"/>
    <s v="US"/>
    <s v="Oak Hills, OR"/>
    <s v="7116080c8926fb6b"/>
    <s v="Oak Hills"/>
    <s v="city"/>
    <m/>
    <m/>
    <m/>
    <m/>
    <m/>
    <s v="https://pbs.twimg.com/profile_images/1661788957552820224/HIMWkMS1_normal.jpg"/>
    <s v="1627444091712831488"/>
    <s v="1627365138352201728"/>
    <s v="1356434353623093249"/>
    <s v="1627365138352201728"/>
    <s v=""/>
    <s v=""/>
    <s v="1627365138352201728"/>
    <s v="1446162783913975818"/>
    <m/>
    <m/>
    <m/>
    <m/>
    <m/>
    <n v="1"/>
    <s v="52"/>
    <s v="52"/>
    <n v="1"/>
    <n v="2"/>
    <n v="0"/>
    <n v="0"/>
    <n v="0"/>
    <n v="0"/>
    <n v="16"/>
    <n v="32"/>
    <n v="50"/>
  </r>
  <r>
    <s v="fauxnamerice"/>
    <s v="weedlings73"/>
    <m/>
    <m/>
    <m/>
    <m/>
    <m/>
    <m/>
    <m/>
    <m/>
    <s v="No"/>
    <n v="82"/>
    <m/>
    <m/>
    <x v="2"/>
    <d v="2024-01-22T15:44:34.000"/>
    <s v="@weedlings73 I think the loss of loved ones would eventually take its toll."/>
    <n v="0"/>
    <n v="1"/>
    <n v="0"/>
    <n v="0"/>
    <n v="7"/>
    <x v="1"/>
    <m/>
    <m/>
    <s v="weedlings73"/>
    <m/>
    <m/>
    <s v="Twitter for Android"/>
    <s v="en"/>
    <s v="https://twitter.com/fauxnamerice/status/1749458037751038128"/>
    <x v="56"/>
    <d v="2024-01-22T00:00:00.000"/>
    <s v="15:44:34"/>
    <m/>
    <s v="-122.6775759,45.338472 _x000a_-122.6775759,45.4001413 _x000a_-122.605199,45.4001413 _x000a_-122.605199,45.338472 _x000a_-122.6775759,45.338472"/>
    <s v="United States"/>
    <s v="US"/>
    <s v="West Linn, OR"/>
    <s v="2ea8f95d7d008ab5"/>
    <s v="West Linn"/>
    <s v="city"/>
    <m/>
    <m/>
    <m/>
    <m/>
    <m/>
    <s v="https://pbs.twimg.com/profile_images/1470867992049172482/6ZgPwl2r_normal.jpg"/>
    <s v="1749458037751038128"/>
    <s v="1749407612590829694"/>
    <s v="1130150522483290112"/>
    <s v="1749407612590829694"/>
    <s v=""/>
    <s v=""/>
    <s v="1749407612590829694"/>
    <n v="3193949707"/>
    <m/>
    <m/>
    <m/>
    <m/>
    <m/>
    <n v="1"/>
    <s v="51"/>
    <s v="51"/>
    <n v="1"/>
    <n v="7.6923076923076925"/>
    <n v="2"/>
    <n v="15.384615384615385"/>
    <n v="0"/>
    <n v="0"/>
    <n v="5"/>
    <n v="38.46153846153846"/>
    <n v="13"/>
  </r>
  <r>
    <s v="lisaandemma"/>
    <s v="ronnyjacksontx"/>
    <m/>
    <m/>
    <m/>
    <m/>
    <m/>
    <m/>
    <m/>
    <m/>
    <s v="No"/>
    <n v="83"/>
    <m/>
    <m/>
    <x v="2"/>
    <d v="2023-02-26T03:31:42.000"/>
    <s v="@RonnyJacksonTX I’m sorry, you must be talking about TRump! He’s losing his mind! What’s left of it! His adderrall addiction has taken its toll!!! Joe is the best!"/>
    <n v="0"/>
    <n v="0"/>
    <n v="0"/>
    <n v="0"/>
    <n v="2"/>
    <x v="1"/>
    <m/>
    <m/>
    <s v="ronnyjacksontx"/>
    <m/>
    <m/>
    <s v="Twitter for iPhone"/>
    <s v="en"/>
    <s v="https://twitter.com/lisaandemma/status/1629685613338447872"/>
    <x v="57"/>
    <d v="2023-02-26T00:00:00.000"/>
    <s v="03:31:42"/>
    <m/>
    <s v="-122.7134422,45.5825007 _x000a_-122.7134422,45.6786765 _x000a_-122.4645067,45.6786765 _x000a_-122.4645067,45.5825007 _x000a_-122.7134422,45.5825007"/>
    <s v="United States"/>
    <s v="US"/>
    <s v="Vancouver, WA"/>
    <s v="5a16f6443a850916"/>
    <s v="Vancouver"/>
    <s v="city"/>
    <m/>
    <m/>
    <m/>
    <m/>
    <m/>
    <s v="https://pbs.twimg.com/profile_images/1578616541268312064/GHskXwz6_normal.jpg"/>
    <s v="1629685613338447872"/>
    <s v="1629516300425875456"/>
    <s v="1201953403099893760"/>
    <s v="1629516300425875456"/>
    <s v=""/>
    <s v=""/>
    <s v="1629516300425875456"/>
    <s v="1566857484455018496"/>
    <m/>
    <m/>
    <m/>
    <m/>
    <m/>
    <n v="1"/>
    <s v="50"/>
    <s v="50"/>
    <n v="1"/>
    <n v="3.225806451612903"/>
    <n v="3"/>
    <n v="9.67741935483871"/>
    <n v="0"/>
    <n v="0"/>
    <n v="9"/>
    <n v="29.032258064516128"/>
    <n v="31"/>
  </r>
  <r>
    <s v="tinastinnett007"/>
    <s v="tinastinnett007"/>
    <m/>
    <m/>
    <m/>
    <m/>
    <m/>
    <m/>
    <m/>
    <m/>
    <s v="No"/>
    <n v="84"/>
    <m/>
    <m/>
    <x v="3"/>
    <d v="2024-01-24T21:23:54.000"/>
    <s v="Whose numbers are we to believe? Somehow someone’s figures and findings are way off! -_x000a_“In mid February 2010, the Haitian government reported the death toll to have reached 230,000 (from the earthquake). However, an investigation by Radio Netherlands has questioned the official…"/>
    <n v="0"/>
    <n v="0"/>
    <n v="0"/>
    <n v="0"/>
    <n v="12"/>
    <x v="1"/>
    <m/>
    <m/>
    <m/>
    <m/>
    <m/>
    <s v="Twitter Web App"/>
    <s v="en"/>
    <s v="https://twitter.com/tinastinnett007/status/1750268210950377921"/>
    <x v="58"/>
    <d v="2024-01-24T00:00:00.000"/>
    <s v="21:23:54"/>
    <m/>
    <m/>
    <m/>
    <m/>
    <m/>
    <m/>
    <m/>
    <m/>
    <m/>
    <m/>
    <m/>
    <m/>
    <m/>
    <s v="https://pbs.twimg.com/profile_images/1748991831080390656/gkpQDJCd_normal.jpg"/>
    <s v="1750268210950377921"/>
    <s v="1750268210950377921"/>
    <m/>
    <s v=""/>
    <s v=""/>
    <s v=""/>
    <s v="1750268210950377921"/>
    <s v="1723872679974047744"/>
    <m/>
    <m/>
    <m/>
    <m/>
    <m/>
    <n v="1"/>
    <s v="1"/>
    <s v="1"/>
    <n v="0"/>
    <n v="0"/>
    <n v="2"/>
    <n v="4.545454545454546"/>
    <n v="0"/>
    <n v="0"/>
    <n v="23"/>
    <n v="52.27272727272727"/>
    <n v="44"/>
  </r>
  <r>
    <s v="pdxfanatic"/>
    <s v="yashar"/>
    <m/>
    <m/>
    <m/>
    <m/>
    <m/>
    <m/>
    <m/>
    <m/>
    <s v="No"/>
    <n v="85"/>
    <m/>
    <m/>
    <x v="2"/>
    <d v="2023-11-10T07:25:36.000"/>
    <s v="@yashar The Biden administration is complicit in the ethnic cleansing of Palestinians and almost all of congress does not support a ceasefire. The death toll and murder of Palestinians will continue to rise and our tax dollars are paying for it."/>
    <n v="0"/>
    <n v="1"/>
    <n v="0"/>
    <n v="0"/>
    <n v="84"/>
    <x v="1"/>
    <m/>
    <m/>
    <s v="yashar"/>
    <m/>
    <m/>
    <s v="Twitter for iPhone"/>
    <s v="en"/>
    <s v="https://twitter.com/pdxfanatic/status/1722878157601259996"/>
    <x v="59"/>
    <d v="2023-11-10T00:00:00.000"/>
    <s v="07:25:36"/>
    <m/>
    <s v="-122.7900653,45.421863 _x000a_-122.7900653,45.6509405 _x000a_-122.471751,45.6509405 _x000a_-122.471751,45.421863 _x000a_-122.7900653,45.421863"/>
    <s v="United States"/>
    <s v="US"/>
    <s v="Portland, OR"/>
    <s v="ac88a4f17a51c7fc"/>
    <s v="Portland"/>
    <s v="city"/>
    <m/>
    <m/>
    <m/>
    <m/>
    <m/>
    <s v="https://pbs.twimg.com/profile_images/1365454116282015744/plK0nNxu_normal.jpg"/>
    <s v="1722878157601259996"/>
    <s v="1722876716262338720"/>
    <s v="11744152"/>
    <s v="1722876716262338720"/>
    <s v=""/>
    <s v=""/>
    <s v="1722876716262338720"/>
    <n v="76211602"/>
    <m/>
    <m/>
    <m/>
    <m/>
    <m/>
    <n v="1"/>
    <s v="49"/>
    <s v="49"/>
    <n v="1"/>
    <n v="2.4390243902439024"/>
    <n v="4"/>
    <n v="9.75609756097561"/>
    <n v="0"/>
    <n v="0"/>
    <n v="14"/>
    <n v="34.146341463414636"/>
    <n v="41"/>
  </r>
  <r>
    <s v="w7enk"/>
    <s v="weatherjefe"/>
    <m/>
    <m/>
    <m/>
    <m/>
    <m/>
    <m/>
    <m/>
    <m/>
    <s v="No"/>
    <n v="86"/>
    <m/>
    <m/>
    <x v="4"/>
    <d v="2023-04-05T18:00:42.000"/>
    <s v="While it's extremely rare, we can and DO get tornadoes here in the #PNW. Today marks 51 years since the deadliest and most powerful #tornado to hit #Portland Metro in recorded history. Many fewer residents back then, imagine the damage and death toll if it happened today?! 🌪️"/>
    <n v="0"/>
    <n v="0"/>
    <n v="1"/>
    <n v="0"/>
    <n v="394"/>
    <x v="9"/>
    <m/>
    <m/>
    <m/>
    <m/>
    <m/>
    <s v="Twitter for Android"/>
    <s v="en"/>
    <s v="https://twitter.com/w7enk/status/1643675040540684288"/>
    <x v="60"/>
    <d v="2023-04-05T00:00:00.000"/>
    <s v="18:00:42"/>
    <m/>
    <s v="-122.655374,45.424593 _x000a_-122.655374,45.4615366 _x000a_-122.5887907,45.4615366 _x000a_-122.5887907,45.424593 _x000a_-122.655374,45.424593"/>
    <s v="United States"/>
    <s v="US"/>
    <s v="Milwaukie, OR"/>
    <s v="0834e7769aa05fce"/>
    <s v="Milwaukie"/>
    <s v="city"/>
    <m/>
    <m/>
    <m/>
    <m/>
    <m/>
    <s v="https://pbs.twimg.com/profile_images/1732624555796221952/H6U0Es58_normal.jpg"/>
    <s v="1643675040540684288"/>
    <s v="1643675040540684288"/>
    <m/>
    <s v=""/>
    <s v="1643619095886155778"/>
    <s v=""/>
    <s v="1643619095886155778"/>
    <s v="1573493607763693568"/>
    <m/>
    <m/>
    <m/>
    <m/>
    <m/>
    <n v="1"/>
    <s v="48"/>
    <s v="48"/>
    <n v="1"/>
    <n v="2.127659574468085"/>
    <n v="3"/>
    <n v="6.382978723404255"/>
    <n v="0"/>
    <n v="0"/>
    <n v="22"/>
    <n v="46.808510638297875"/>
    <n v="47"/>
  </r>
  <r>
    <s v="xsandman00"/>
    <s v="mehdirhasan"/>
    <m/>
    <m/>
    <m/>
    <m/>
    <m/>
    <m/>
    <m/>
    <m/>
    <s v="No"/>
    <n v="87"/>
    <m/>
    <m/>
    <x v="2"/>
    <d v="2023-10-12T17:20:48.000"/>
    <s v="@mehdirhasan I condemn both of them, but blame Hamas for both. If Hamas didn’t hide military locations in civilian areas, then the civilian death toll wouldn’t be so high. Are you suggesting Hamas should escape justice because they hide behind civilians?"/>
    <n v="0"/>
    <n v="0"/>
    <n v="0"/>
    <n v="0"/>
    <n v="13"/>
    <x v="1"/>
    <m/>
    <m/>
    <s v="mehdirhasan"/>
    <m/>
    <m/>
    <s v="Twitter for iPhone"/>
    <s v="en"/>
    <s v="https://twitter.com/xsandman00/status/1712518692662292874"/>
    <x v="61"/>
    <d v="2023-10-12T00:00:00.000"/>
    <s v="17:20:48"/>
    <m/>
    <s v="-122.7900653,45.421863 _x000a_-122.7900653,45.6509405 _x000a_-122.471751,45.6509405 _x000a_-122.471751,45.421863 _x000a_-122.7900653,45.421863"/>
    <s v="United States"/>
    <s v="US"/>
    <s v="Portland, OR"/>
    <s v="ac88a4f17a51c7fc"/>
    <s v="Portland"/>
    <s v="city"/>
    <m/>
    <m/>
    <m/>
    <m/>
    <m/>
    <s v="https://abs.twimg.com/sticky/default_profile_images/default_profile_normal.png"/>
    <s v="1712518692662292874"/>
    <s v="1712510442575159710"/>
    <s v="130557513"/>
    <s v="1712510442575159710"/>
    <s v=""/>
    <s v=""/>
    <s v="1712510442575159710"/>
    <s v="735960243784589313"/>
    <m/>
    <m/>
    <m/>
    <m/>
    <m/>
    <n v="1"/>
    <s v="47"/>
    <s v="47"/>
    <n v="0"/>
    <n v="0"/>
    <n v="4"/>
    <n v="9.30232558139535"/>
    <n v="0"/>
    <n v="0"/>
    <n v="21"/>
    <n v="48.83720930232558"/>
    <n v="43"/>
  </r>
  <r>
    <s v="em1liath"/>
    <s v="em1liath"/>
    <m/>
    <m/>
    <m/>
    <m/>
    <m/>
    <m/>
    <m/>
    <m/>
    <s v="No"/>
    <n v="88"/>
    <m/>
    <m/>
    <x v="3"/>
    <d v="2024-01-26T03:31:42.000"/>
    <s v="Blizzard telling people they can no longer work from home and forcing them to move to California, to one of the most expensive areas in the US, just to lay them off is really the epitome of corporate evil"/>
    <n v="12401"/>
    <n v="87379"/>
    <n v="213"/>
    <n v="251"/>
    <n v="2858236"/>
    <x v="1"/>
    <m/>
    <m/>
    <m/>
    <m/>
    <m/>
    <s v="Twitter for iPhone"/>
    <s v="en"/>
    <s v="https://twitter.com/em1liath/status/1750723160238870792"/>
    <x v="62"/>
    <d v="2024-01-26T00:00:00.000"/>
    <s v="03:31:42"/>
    <m/>
    <m/>
    <m/>
    <m/>
    <m/>
    <m/>
    <m/>
    <m/>
    <m/>
    <m/>
    <m/>
    <m/>
    <m/>
    <s v="https://pbs.twimg.com/profile_images/1727128514409668608/YWC9OKuQ_normal.jpg"/>
    <s v="1750723160238870792"/>
    <s v="1750723160238870792"/>
    <m/>
    <s v=""/>
    <s v=""/>
    <s v=""/>
    <s v="1750723160238870792"/>
    <s v="938131598893092866"/>
    <m/>
    <m/>
    <m/>
    <m/>
    <m/>
    <n v="1"/>
    <s v="61"/>
    <s v="61"/>
    <n v="1"/>
    <n v="2.5641025641025643"/>
    <n v="2"/>
    <n v="5.128205128205129"/>
    <n v="0"/>
    <n v="0"/>
    <n v="14"/>
    <n v="35.8974358974359"/>
    <n v="39"/>
  </r>
  <r>
    <s v="herlihy_f"/>
    <s v="herlihy_f"/>
    <m/>
    <m/>
    <m/>
    <m/>
    <m/>
    <m/>
    <m/>
    <m/>
    <s v="No"/>
    <n v="89"/>
    <m/>
    <m/>
    <x v="3"/>
    <d v="2023-08-14T05:35:36.000"/>
    <s v="Live updates: Death toll in Maui wildfires, now 93, expected to rise as search continues https://t.co/YfYAyNSKSn"/>
    <n v="0"/>
    <n v="0"/>
    <n v="0"/>
    <n v="0"/>
    <n v="64"/>
    <x v="1"/>
    <s v="https://wapo.st/45mSV1C"/>
    <s v="wapo.st"/>
    <m/>
    <m/>
    <m/>
    <s v="Twitter for Android"/>
    <s v="en"/>
    <s v="https://twitter.com/herlihy_f/status/1690960342959132672"/>
    <x v="63"/>
    <d v="2023-08-14T00:00:00.000"/>
    <s v="05:35:36"/>
    <b v="0"/>
    <s v="-122.7900653,45.421863 _x000a_-122.7900653,45.6509405 _x000a_-122.471751,45.6509405 _x000a_-122.471751,45.421863 _x000a_-122.7900653,45.421863"/>
    <s v="United States"/>
    <s v="US"/>
    <s v="Portland, OR"/>
    <s v="ac88a4f17a51c7fc"/>
    <s v="Portland"/>
    <s v="city"/>
    <m/>
    <m/>
    <m/>
    <m/>
    <m/>
    <s v="https://pbs.twimg.com/profile_images/1534476395639762944/oAWLsEnn_normal.jpg"/>
    <s v="1690960342959132672"/>
    <s v="1690960342959132672"/>
    <m/>
    <s v=""/>
    <s v=""/>
    <s v=""/>
    <s v="1690960342959132672"/>
    <s v="1257099943132622848"/>
    <m/>
    <m/>
    <m/>
    <m/>
    <m/>
    <n v="3"/>
    <s v="1"/>
    <s v="1"/>
    <n v="0"/>
    <n v="0"/>
    <n v="2"/>
    <n v="13.333333333333334"/>
    <n v="0"/>
    <n v="0"/>
    <n v="9"/>
    <n v="60"/>
    <n v="15"/>
  </r>
  <r>
    <s v="herlihy_f"/>
    <s v="herlihy_f"/>
    <m/>
    <m/>
    <m/>
    <m/>
    <m/>
    <m/>
    <m/>
    <m/>
    <s v="No"/>
    <n v="90"/>
    <m/>
    <m/>
    <x v="3"/>
    <d v="2023-11-06T14:44:33.000"/>
    <s v="Israel-Gaza war live updates: Gaza death toll passes 10,000, health officials say; Blinken says more aid coming soon https://t.co/SMLEIvEXeF"/>
    <n v="0"/>
    <n v="0"/>
    <n v="0"/>
    <n v="0"/>
    <n v="42"/>
    <x v="1"/>
    <s v="https://www.washingtonpost.com/world/2023/11/06/israel-hamas-war-gaza-news-palestine/"/>
    <s v="washingtonpost.com"/>
    <m/>
    <m/>
    <m/>
    <s v="Twitter for Android"/>
    <s v="en"/>
    <s v="https://twitter.com/herlihy_f/status/1721539068994220319"/>
    <x v="64"/>
    <d v="2023-11-06T00:00:00.000"/>
    <s v="14:44:33"/>
    <b v="0"/>
    <s v="-122.7900653,45.421863 _x000a_-122.7900653,45.6509405 _x000a_-122.471751,45.6509405 _x000a_-122.471751,45.421863 _x000a_-122.7900653,45.421863"/>
    <s v="United States"/>
    <s v="US"/>
    <s v="Portland, OR"/>
    <s v="ac88a4f17a51c7fc"/>
    <s v="Portland"/>
    <s v="city"/>
    <m/>
    <m/>
    <m/>
    <m/>
    <m/>
    <s v="https://pbs.twimg.com/profile_images/1534476395639762944/oAWLsEnn_normal.jpg"/>
    <s v="1721539068994220319"/>
    <s v="1721539068994220319"/>
    <m/>
    <s v=""/>
    <s v=""/>
    <s v=""/>
    <s v="1721539068994220319"/>
    <s v="1257099943132622848"/>
    <m/>
    <m/>
    <m/>
    <m/>
    <m/>
    <n v="3"/>
    <s v="1"/>
    <s v="1"/>
    <n v="0"/>
    <n v="0"/>
    <n v="2"/>
    <n v="10"/>
    <n v="0"/>
    <n v="0"/>
    <n v="16"/>
    <n v="80"/>
    <n v="20"/>
  </r>
  <r>
    <s v="herlihy_f"/>
    <s v="herlihy_f"/>
    <m/>
    <m/>
    <m/>
    <m/>
    <m/>
    <m/>
    <m/>
    <m/>
    <s v="No"/>
    <n v="91"/>
    <m/>
    <m/>
    <x v="3"/>
    <d v="2023-11-06T14:44:20.000"/>
    <s v="Israel-Gaza war live updates: Gaza death toll passes 10,000, health officials say; Blinken says more aid coming soon https://t.co/SMLEIvEXeF"/>
    <n v="0"/>
    <n v="1"/>
    <n v="0"/>
    <n v="0"/>
    <n v="34"/>
    <x v="1"/>
    <s v="https://www.washingtonpost.com/world/2023/11/06/israel-hamas-war-gaza-news-palestine/"/>
    <s v="washingtonpost.com"/>
    <m/>
    <m/>
    <m/>
    <s v="Twitter for Android"/>
    <s v="en"/>
    <s v="https://twitter.com/herlihy_f/status/1721539015890092379"/>
    <x v="65"/>
    <d v="2023-11-06T00:00:00.000"/>
    <s v="14:44:20"/>
    <b v="0"/>
    <s v="-122.7900653,45.421863 _x000a_-122.7900653,45.6509405 _x000a_-122.471751,45.6509405 _x000a_-122.471751,45.421863 _x000a_-122.7900653,45.421863"/>
    <s v="United States"/>
    <s v="US"/>
    <s v="Portland, OR"/>
    <s v="ac88a4f17a51c7fc"/>
    <s v="Portland"/>
    <s v="city"/>
    <m/>
    <m/>
    <m/>
    <m/>
    <m/>
    <s v="https://pbs.twimg.com/profile_images/1534476395639762944/oAWLsEnn_normal.jpg"/>
    <s v="1721539015890092379"/>
    <s v="1721539015890092379"/>
    <m/>
    <s v=""/>
    <s v=""/>
    <s v=""/>
    <s v="1721539015890092379"/>
    <s v="1257099943132622848"/>
    <m/>
    <m/>
    <m/>
    <m/>
    <m/>
    <n v="3"/>
    <s v="1"/>
    <s v="1"/>
    <n v="0"/>
    <n v="0"/>
    <n v="2"/>
    <n v="10"/>
    <n v="0"/>
    <n v="0"/>
    <n v="16"/>
    <n v="80"/>
    <n v="20"/>
  </r>
  <r>
    <s v="pardonmypain"/>
    <s v="naomi_d_harvey"/>
    <m/>
    <m/>
    <m/>
    <m/>
    <m/>
    <m/>
    <m/>
    <m/>
    <s v="No"/>
    <n v="92"/>
    <m/>
    <m/>
    <x v="2"/>
    <d v="2024-01-28T21:32:10.000"/>
    <s v="@Naomi_D_Harvey I'm having nostalgia now for one of my past lives where I was tasked with modifying toll-like receptors and bombarding them with pathogenic materials to see if we could turn off various autoimmune processes. 😅 This IS huge news! 🥰"/>
    <n v="0"/>
    <n v="3"/>
    <n v="1"/>
    <n v="0"/>
    <n v="135"/>
    <x v="1"/>
    <m/>
    <m/>
    <s v="naomi_d_harvey"/>
    <m/>
    <m/>
    <s v="Twitter Web App"/>
    <s v="en"/>
    <s v="https://twitter.com/pardonmypain/status/1751719842351313121"/>
    <x v="66"/>
    <d v="2024-01-28T00:00:00.000"/>
    <s v="21:32:10"/>
    <m/>
    <m/>
    <m/>
    <m/>
    <m/>
    <m/>
    <m/>
    <m/>
    <m/>
    <m/>
    <m/>
    <m/>
    <m/>
    <s v="https://pbs.twimg.com/profile_images/700915659/bebeskwid_normal.jpg"/>
    <s v="1751719842351313121"/>
    <s v="1751712201990152383"/>
    <s v="2625684244"/>
    <s v="1751712201990152383"/>
    <s v=""/>
    <s v=""/>
    <s v="1751712201990152383"/>
    <n v="113704528"/>
    <m/>
    <m/>
    <m/>
    <m/>
    <m/>
    <n v="1"/>
    <s v="46"/>
    <s v="46"/>
    <n v="0"/>
    <n v="0"/>
    <n v="1"/>
    <n v="2.5"/>
    <n v="0"/>
    <n v="0"/>
    <n v="19"/>
    <n v="47.5"/>
    <n v="40"/>
  </r>
  <r>
    <s v="wingsatlast"/>
    <s v="rncresearch"/>
    <m/>
    <m/>
    <m/>
    <m/>
    <m/>
    <m/>
    <m/>
    <m/>
    <s v="No"/>
    <n v="93"/>
    <m/>
    <m/>
    <x v="1"/>
    <d v="2024-01-28T22:00:45.000"/>
    <s v="@CollinRugg @RNCResearch Come on Mr. Biden.  _x000a__x000a_You are clearly not well sir, suggesting that any fallen soldier would be disrespected by any former President, especially Mr. Trump._x000a__x000a_The stress and strain of your presidential responsibilities, seems to be taking its toll on your health and well being."/>
    <n v="0"/>
    <n v="0"/>
    <n v="0"/>
    <n v="0"/>
    <n v="13"/>
    <x v="1"/>
    <m/>
    <m/>
    <s v="collinrugg rncresearch"/>
    <m/>
    <m/>
    <s v="Twitter for iPhone"/>
    <s v="en"/>
    <s v="https://twitter.com/wingsatlast/status/1751727035846885617"/>
    <x v="67"/>
    <d v="2024-01-28T00:00:00.000"/>
    <s v="22:00:45"/>
    <m/>
    <m/>
    <m/>
    <m/>
    <m/>
    <m/>
    <m/>
    <m/>
    <m/>
    <m/>
    <m/>
    <m/>
    <m/>
    <s v="https://pbs.twimg.com/profile_images/1603214633028157440/Y8rvzt6Q_normal.jpg"/>
    <s v="1751727035846885617"/>
    <s v="1751420985763594379"/>
    <s v="890061634181373952"/>
    <s v="1751420985763594379"/>
    <s v=""/>
    <s v=""/>
    <s v="1751420985763594379"/>
    <s v="1586174604141162497"/>
    <m/>
    <m/>
    <m/>
    <m/>
    <m/>
    <n v="1"/>
    <s v="16"/>
    <s v="16"/>
    <m/>
    <m/>
    <m/>
    <m/>
    <m/>
    <m/>
    <m/>
    <m/>
    <m/>
  </r>
  <r>
    <s v="kgwnews"/>
    <s v="kgwnews"/>
    <m/>
    <m/>
    <m/>
    <m/>
    <m/>
    <m/>
    <m/>
    <m/>
    <s v="No"/>
    <n v="95"/>
    <m/>
    <m/>
    <x v="3"/>
    <d v="2024-01-21T16:43:02.000"/>
    <s v="Palestinian death toll in Gaza surpasses 25,000 while the prolonged war divides Israelis https://t.co/ckIjdMvvAV"/>
    <n v="1"/>
    <n v="19"/>
    <n v="15"/>
    <n v="1"/>
    <n v="7488"/>
    <x v="1"/>
    <s v="https://www.kgw.com/article/news/nation-world/israel-hamas-conflict/israel-hamas-war-palestinian-death-toll-in-gaza/507-b5580c00-947b-4cdf-bc5a-f1a42ba9377a?utm_campaign=snd-autopilot"/>
    <s v="kgw.com"/>
    <m/>
    <m/>
    <m/>
    <s v="Social News Desk (S)"/>
    <s v="en"/>
    <s v="https://twitter.com/kgwnews/status/1749110365558857961"/>
    <x v="68"/>
    <d v="2024-01-21T00:00:00.000"/>
    <s v="16:43:02"/>
    <b v="0"/>
    <m/>
    <m/>
    <m/>
    <m/>
    <m/>
    <m/>
    <m/>
    <m/>
    <m/>
    <m/>
    <m/>
    <m/>
    <s v="https://pbs.twimg.com/profile_images/1234999131594055681/PBSrLVO2_normal.jpg"/>
    <s v="1749110365558857961"/>
    <s v="1749110365558857961"/>
    <m/>
    <s v=""/>
    <s v=""/>
    <s v=""/>
    <s v="1749110365558857961"/>
    <n v="14185814"/>
    <m/>
    <m/>
    <m/>
    <m/>
    <m/>
    <n v="1"/>
    <s v="1"/>
    <s v="1"/>
    <n v="0"/>
    <n v="0"/>
    <n v="2"/>
    <n v="14.285714285714286"/>
    <n v="0"/>
    <n v="0"/>
    <n v="9"/>
    <n v="64.28571428571429"/>
    <n v="14"/>
  </r>
  <r>
    <s v="shaving_s"/>
    <s v="nothoodlum"/>
    <m/>
    <m/>
    <m/>
    <m/>
    <m/>
    <m/>
    <m/>
    <m/>
    <s v="No"/>
    <n v="96"/>
    <m/>
    <m/>
    <x v="2"/>
    <d v="2023-07-17T06:28:06.000"/>
    <s v="@NotHoodlum Hate can really take a toll upon the body and even infect your hair._x000a__x000a_This is quite evident by the photo Maria posted, just how badly HATE  will really fugly you out. ."/>
    <n v="1"/>
    <n v="4"/>
    <n v="0"/>
    <n v="0"/>
    <n v="63"/>
    <x v="1"/>
    <m/>
    <m/>
    <s v="nothoodlum"/>
    <m/>
    <m/>
    <s v="Twitter for iPhone"/>
    <s v="en"/>
    <s v="https://twitter.com/shaving_s/status/1680826690954747904"/>
    <x v="69"/>
    <d v="2023-07-17T00:00:00.000"/>
    <s v="06:28:06"/>
    <m/>
    <s v="-122.867581,45.426386 _x000a_-122.867581,45.543398 _x000a_-122.743577,45.543398 _x000a_-122.743577,45.426386 _x000a_-122.867581,45.426386"/>
    <s v="United States"/>
    <s v="US"/>
    <s v="Beaverton, OR"/>
    <s v="e0c5378910ca41e0"/>
    <s v="Beaverton"/>
    <s v="city"/>
    <m/>
    <m/>
    <m/>
    <m/>
    <m/>
    <s v="https://pbs.twimg.com/profile_images/1658298697653026816/DRu3rFlr_normal.jpg"/>
    <s v="1680826690954747904"/>
    <s v="1680666750608633857"/>
    <s v="1106771843929788419"/>
    <s v="1680666750608633857"/>
    <s v=""/>
    <s v=""/>
    <s v="1680666750608633857"/>
    <s v="1176562844566872064"/>
    <m/>
    <m/>
    <m/>
    <m/>
    <m/>
    <n v="1"/>
    <s v="45"/>
    <s v="45"/>
    <n v="0"/>
    <n v="0"/>
    <n v="4"/>
    <n v="12.121212121212121"/>
    <n v="0"/>
    <n v="0"/>
    <n v="14"/>
    <n v="42.42424242424242"/>
    <n v="33"/>
  </r>
  <r>
    <s v="chuckwoolery"/>
    <s v="chuckwoolery"/>
    <m/>
    <m/>
    <m/>
    <m/>
    <m/>
    <m/>
    <m/>
    <m/>
    <s v="No"/>
    <n v="97"/>
    <m/>
    <m/>
    <x v="3"/>
    <d v="2023-05-12T19:20:01.000"/>
    <s v="Fans are concerned after seeing these photos. _x000a_https://t.co/lq4vYn00Y3"/>
    <n v="4"/>
    <n v="18"/>
    <n v="5"/>
    <n v="1"/>
    <n v="6490"/>
    <x v="1"/>
    <s v="https://buff.ly/3lkMiLz"/>
    <s v="buff.ly"/>
    <m/>
    <m/>
    <m/>
    <s v="Buffer"/>
    <s v="en"/>
    <s v="https://twitter.com/chuckwoolery/status/1657103351157346316"/>
    <x v="70"/>
    <d v="2023-05-12T00:00:00.000"/>
    <s v="19:20:01"/>
    <b v="0"/>
    <m/>
    <m/>
    <m/>
    <m/>
    <m/>
    <m/>
    <m/>
    <m/>
    <m/>
    <m/>
    <m/>
    <m/>
    <s v="https://pbs.twimg.com/profile_images/1764172727/Chuck_Headshot_normal.jpg"/>
    <s v="1657103351157346316"/>
    <s v="1657103351157346316"/>
    <m/>
    <s v=""/>
    <s v=""/>
    <s v=""/>
    <s v="1657103351157346316"/>
    <n v="462104542"/>
    <m/>
    <m/>
    <m/>
    <m/>
    <m/>
    <n v="1"/>
    <s v="44"/>
    <s v="44"/>
    <n v="1"/>
    <n v="14.285714285714286"/>
    <n v="1"/>
    <n v="14.285714285714286"/>
    <n v="0"/>
    <n v="0"/>
    <n v="2"/>
    <n v="28.571428571428573"/>
    <n v="7"/>
  </r>
  <r>
    <s v="billy_purcell"/>
    <s v="chuckwoolery"/>
    <m/>
    <m/>
    <m/>
    <m/>
    <m/>
    <m/>
    <m/>
    <m/>
    <s v="No"/>
    <n v="98"/>
    <m/>
    <m/>
    <x v="4"/>
    <d v="2023-05-12T19:38:49.000"/>
    <s v="The insidious, demonic deep state persecution of Ivanka, and the whole Trump family takes its toll."/>
    <n v="0"/>
    <n v="0"/>
    <n v="0"/>
    <n v="0"/>
    <n v="13"/>
    <x v="1"/>
    <m/>
    <m/>
    <m/>
    <m/>
    <m/>
    <s v="Twitter for iPhone"/>
    <s v="en"/>
    <s v="https://twitter.com/billy_purcell/status/1657108083825582081"/>
    <x v="71"/>
    <d v="2023-05-12T00:00:00.000"/>
    <s v="19:38:49"/>
    <m/>
    <s v="-122.750195,45.3822163 _x000a_-122.750195,45.44028 _x000a_-122.642587,45.44028 _x000a_-122.642587,45.3822163 _x000a_-122.750195,45.3822163"/>
    <s v="United States"/>
    <s v="US"/>
    <s v="Lake Oswego, OR"/>
    <s v="386b4dc0b52f8b48"/>
    <s v="Lake Oswego"/>
    <s v="city"/>
    <m/>
    <m/>
    <m/>
    <m/>
    <m/>
    <s v="https://pbs.twimg.com/profile_images/1733746878989352960/S3w_MIUm_normal.jpg"/>
    <s v="1657108083825582081"/>
    <s v="1657108083825582081"/>
    <m/>
    <s v=""/>
    <s v="1657103351157346316"/>
    <s v=""/>
    <s v="1657103351157346316"/>
    <n v="67397666"/>
    <m/>
    <m/>
    <m/>
    <m/>
    <m/>
    <n v="1"/>
    <s v="44"/>
    <s v="44"/>
    <n v="0"/>
    <n v="0"/>
    <n v="4"/>
    <n v="25"/>
    <n v="0"/>
    <n v="0"/>
    <n v="7"/>
    <n v="43.75"/>
    <n v="16"/>
  </r>
  <r>
    <s v="art_burke"/>
    <s v="moderna_tx"/>
    <m/>
    <m/>
    <m/>
    <m/>
    <m/>
    <m/>
    <m/>
    <m/>
    <s v="No"/>
    <n v="99"/>
    <m/>
    <m/>
    <x v="1"/>
    <d v="2023-07-26T15:10:52.000"/>
    <s v="@mojocuba @AlexBerenson @moderna_tx Except covid-19 killed huge numbers of people. _x000a__x000a_The safe and effective vaccine and early treatments have reduced the death toll tremendously."/>
    <n v="0"/>
    <n v="0"/>
    <n v="0"/>
    <n v="0"/>
    <n v="31"/>
    <x v="1"/>
    <m/>
    <m/>
    <s v="mojocuba alexberenson moderna_tx"/>
    <m/>
    <m/>
    <s v="Twitter for iPhone"/>
    <s v="en"/>
    <s v="https://twitter.com/art_burke/status/1684219740389257218"/>
    <x v="72"/>
    <d v="2023-07-26T00:00:00.000"/>
    <s v="15:10:52"/>
    <m/>
    <s v="-122.7900653,45.421863 _x000a_-122.7900653,45.6509405 _x000a_-122.471751,45.6509405 _x000a_-122.471751,45.421863 _x000a_-122.7900653,45.421863"/>
    <s v="United States"/>
    <s v="US"/>
    <s v="Portland, OR"/>
    <s v="ac88a4f17a51c7fc"/>
    <s v="Portland"/>
    <s v="city"/>
    <m/>
    <m/>
    <m/>
    <m/>
    <m/>
    <s v="https://pbs.twimg.com/profile_images/577924067858104320/nB0U5RlO_normal.jpeg"/>
    <s v="1684219740389257218"/>
    <s v="1683863807725117440"/>
    <s v="1174759376843878406"/>
    <s v="1684219049306210304"/>
    <s v=""/>
    <s v=""/>
    <s v="1684219049306210304"/>
    <n v="1217242807"/>
    <m/>
    <m/>
    <m/>
    <m/>
    <m/>
    <n v="1"/>
    <s v="4"/>
    <s v="4"/>
    <m/>
    <m/>
    <m/>
    <m/>
    <m/>
    <m/>
    <m/>
    <m/>
    <m/>
  </r>
  <r>
    <s v="art_burke"/>
    <s v="robin_shattock"/>
    <m/>
    <m/>
    <m/>
    <m/>
    <m/>
    <m/>
    <m/>
    <m/>
    <s v="No"/>
    <n v="102"/>
    <m/>
    <m/>
    <x v="1"/>
    <d v="2023-05-08T01:22:16.000"/>
    <s v="@stkirsch @robin_shattock Covid-19 is a bad disease, spreads easily, and inflicts a particularly heavy toll on the unvaccinated. _x000a__x000a_Who would have guessed."/>
    <n v="0"/>
    <n v="1"/>
    <n v="4"/>
    <n v="0"/>
    <n v="163"/>
    <x v="1"/>
    <m/>
    <m/>
    <s v="stkirsch robin_shattock"/>
    <m/>
    <m/>
    <s v="Twitter for iPhone"/>
    <s v="en"/>
    <s v="https://twitter.com/art_burke/status/1655382576570437632"/>
    <x v="73"/>
    <d v="2023-05-08T00:00:00.000"/>
    <s v="01:22:16"/>
    <m/>
    <s v="-122.7900653,45.421863 _x000a_-122.7900653,45.6509405 _x000a_-122.471751,45.6509405 _x000a_-122.471751,45.421863 _x000a_-122.7900653,45.421863"/>
    <s v="United States"/>
    <s v="US"/>
    <s v="Portland, OR"/>
    <s v="ac88a4f17a51c7fc"/>
    <s v="Portland"/>
    <s v="city"/>
    <m/>
    <m/>
    <m/>
    <m/>
    <m/>
    <s v="https://pbs.twimg.com/profile_images/577924067858104320/nB0U5RlO_normal.jpeg"/>
    <s v="1655382576570437632"/>
    <s v="1655374748514410496"/>
    <s v="37491797"/>
    <s v="1655380499173634049"/>
    <s v=""/>
    <s v=""/>
    <s v="1655380499173634049"/>
    <n v="1217242807"/>
    <m/>
    <m/>
    <m/>
    <m/>
    <m/>
    <n v="1"/>
    <s v="4"/>
    <s v="4"/>
    <m/>
    <m/>
    <m/>
    <m/>
    <m/>
    <m/>
    <m/>
    <m/>
    <m/>
  </r>
  <r>
    <s v="art_burke"/>
    <s v="kevinnbass"/>
    <m/>
    <m/>
    <m/>
    <m/>
    <m/>
    <m/>
    <m/>
    <m/>
    <s v="No"/>
    <n v="104"/>
    <m/>
    <m/>
    <x v="2"/>
    <d v="2024-01-07T17:10:06.000"/>
    <s v="@kevinnbass Hospitals have this crazy desire to protect patients against communicable respiratory diseases carried by visitors, and protect visitors and staff against diseases patients have._x000a__x000a_Remember the toll the virus took on health care workers before the vaccine became available?"/>
    <n v="0"/>
    <n v="0"/>
    <n v="0"/>
    <n v="0"/>
    <n v="10"/>
    <x v="1"/>
    <m/>
    <m/>
    <s v="kevinnbass"/>
    <m/>
    <m/>
    <s v="Twitter for iPhone"/>
    <s v="en"/>
    <s v="https://twitter.com/art_burke/status/1744043745061093619"/>
    <x v="74"/>
    <d v="2024-01-07T00:00:00.000"/>
    <s v="17:10:06"/>
    <m/>
    <s v="-122.7900653,45.421863 _x000a_-122.7900653,45.6509405 _x000a_-122.471751,45.6509405 _x000a_-122.471751,45.421863 _x000a_-122.7900653,45.421863"/>
    <s v="United States"/>
    <s v="US"/>
    <s v="Portland, OR"/>
    <s v="ac88a4f17a51c7fc"/>
    <s v="Portland"/>
    <s v="city"/>
    <m/>
    <m/>
    <m/>
    <m/>
    <m/>
    <s v="https://pbs.twimg.com/profile_images/577924067858104320/nB0U5RlO_normal.jpeg"/>
    <s v="1744043745061093619"/>
    <s v="1743805676458033192"/>
    <s v="1038726722"/>
    <s v="1743805676458033192"/>
    <s v=""/>
    <s v=""/>
    <s v="1743805676458033192"/>
    <n v="1217242807"/>
    <m/>
    <m/>
    <m/>
    <m/>
    <m/>
    <n v="1"/>
    <s v="4"/>
    <s v="4"/>
    <n v="3"/>
    <n v="7.5"/>
    <n v="3"/>
    <n v="7.5"/>
    <n v="0"/>
    <n v="0"/>
    <n v="23"/>
    <n v="57.5"/>
    <n v="40"/>
  </r>
  <r>
    <s v="mordechaiklompa"/>
    <s v="mordechaiklompa"/>
    <m/>
    <m/>
    <m/>
    <m/>
    <m/>
    <m/>
    <m/>
    <m/>
    <s v="No"/>
    <n v="105"/>
    <m/>
    <m/>
    <x v="3"/>
    <d v="2024-01-20T08:15:15.000"/>
    <s v="🇮🇱 🇵🇸 This is one of the most heinous massacres that the Israelis carried out against the Palestinians 36 years ago, and the media did not talk about it because there were no media outlets at that time in Palestine. Follow the video._x000a__x000a_Share the truth https://t.co/Dk394PchJ7"/>
    <n v="1478"/>
    <n v="1857"/>
    <n v="109"/>
    <n v="200"/>
    <n v="75725"/>
    <x v="1"/>
    <m/>
    <m/>
    <m/>
    <s v="https://t.co/Dk394PchJ7 https://pbs.twimg.com/ext_tw_video_thumb/1748620090319286272/pu/img/Rpb0AiiDyI3YhsKr.jpg"/>
    <s v="video"/>
    <s v="Twitter for Android"/>
    <s v="en"/>
    <s v="https://twitter.com/mordechaiklompa/status/1748620187526402171"/>
    <x v="75"/>
    <d v="2024-01-20T00:00:00.000"/>
    <s v="08:15:15"/>
    <b v="0"/>
    <m/>
    <m/>
    <m/>
    <m/>
    <m/>
    <m/>
    <m/>
    <s v="7_1748620090319286272"/>
    <n v="118699"/>
    <m/>
    <m/>
    <m/>
    <s v="https://pbs.twimg.com/ext_tw_video_thumb/1748620090319286272/pu/img/Rpb0AiiDyI3YhsKr.jpg"/>
    <s v="1748620187526402171"/>
    <s v="1748620187526402171"/>
    <m/>
    <s v=""/>
    <s v=""/>
    <s v=""/>
    <s v="1748620187526402171"/>
    <s v="1715501665988538368"/>
    <m/>
    <m/>
    <m/>
    <m/>
    <m/>
    <n v="1"/>
    <s v="43"/>
    <s v="43"/>
    <n v="0"/>
    <n v="0"/>
    <n v="2"/>
    <n v="4.545454545454546"/>
    <n v="0"/>
    <n v="0"/>
    <n v="18"/>
    <n v="40.90909090909091"/>
    <n v="44"/>
  </r>
  <r>
    <s v="gentlypress"/>
    <s v="mordechaiklompa"/>
    <m/>
    <m/>
    <m/>
    <m/>
    <m/>
    <m/>
    <m/>
    <m/>
    <s v="No"/>
    <n v="106"/>
    <m/>
    <m/>
    <x v="4"/>
    <d v="2024-01-24T20:43:04.000"/>
    <s v="3500-5000 Palestinians killed by Israeli soldiers in 1982. Which is already horrific, but the death toll of Israel's current genocidal campaign is at least FIVE TIMES that many. #CeasefireNOW"/>
    <n v="0"/>
    <n v="0"/>
    <n v="0"/>
    <n v="0"/>
    <n v="43"/>
    <x v="10"/>
    <m/>
    <m/>
    <m/>
    <m/>
    <m/>
    <s v="Twitter for Android"/>
    <s v="en"/>
    <s v="https://twitter.com/gentlypress/status/1750257933307547749"/>
    <x v="76"/>
    <d v="2024-01-24T00:00:00.000"/>
    <s v="20:43:04"/>
    <m/>
    <m/>
    <m/>
    <m/>
    <m/>
    <m/>
    <m/>
    <m/>
    <m/>
    <m/>
    <m/>
    <m/>
    <m/>
    <s v="https://pbs.twimg.com/profile_images/1713973080492752896/IxjB2O_G_normal.jpg"/>
    <s v="1750257933307547749"/>
    <s v="1750257933307547749"/>
    <m/>
    <s v=""/>
    <s v="1748620187526402171"/>
    <s v=""/>
    <s v="1748620187526402171"/>
    <n v="181832906"/>
    <m/>
    <m/>
    <m/>
    <m/>
    <m/>
    <n v="1"/>
    <s v="43"/>
    <s v="43"/>
    <n v="0"/>
    <n v="0"/>
    <n v="4"/>
    <n v="13.333333333333334"/>
    <n v="0"/>
    <n v="0"/>
    <n v="15"/>
    <n v="50"/>
    <n v="30"/>
  </r>
  <r>
    <s v="beautiful_str34"/>
    <s v="trevor00988477"/>
    <m/>
    <m/>
    <m/>
    <m/>
    <m/>
    <m/>
    <m/>
    <m/>
    <s v="No"/>
    <n v="107"/>
    <m/>
    <m/>
    <x v="1"/>
    <d v="2024-01-25T01:07:04.000"/>
    <s v="@CSmoove_Sports @blakjordanbreen @BabyEsko3900 @MeechieJacobs @Trevor00988477 On the sure will of effort, staying in front &amp;amp; contesting, not bouncing easily off kawhi etc, yes to a degree, I agree. However, as he started to miss shots in a row his Def took a toll &amp;amp; hurt the team at times, dwn the stretch in clutch momentum moments. Moreover, when his offen"/>
    <n v="0"/>
    <n v="3"/>
    <n v="3"/>
    <n v="0"/>
    <n v="94"/>
    <x v="1"/>
    <m/>
    <m/>
    <s v="csmoove_sports blakjordanbreen babyesko3900 meechiejacobs trevor00988477"/>
    <m/>
    <m/>
    <s v="Twitter for Android"/>
    <s v="en"/>
    <s v="https://twitter.com/beautiful_str34/status/1750324372844495189"/>
    <x v="77"/>
    <d v="2024-01-25T00:00:00.000"/>
    <s v="01:07:04"/>
    <m/>
    <m/>
    <m/>
    <m/>
    <m/>
    <m/>
    <m/>
    <m/>
    <m/>
    <m/>
    <m/>
    <m/>
    <m/>
    <s v="https://pbs.twimg.com/profile_images/1688724927590080512/k9BtWP8O_normal.jpg"/>
    <s v="1750324372844495189"/>
    <s v="1750320551267274792"/>
    <s v="27546028"/>
    <s v="1750320551267274792"/>
    <s v=""/>
    <s v=""/>
    <s v="1750320551267274792"/>
    <s v="892387980215590913"/>
    <m/>
    <m/>
    <m/>
    <m/>
    <m/>
    <n v="1"/>
    <s v="5"/>
    <s v="5"/>
    <m/>
    <m/>
    <m/>
    <m/>
    <m/>
    <m/>
    <m/>
    <m/>
    <m/>
  </r>
  <r>
    <s v="muellershewrote"/>
    <s v="muellershewrote"/>
    <m/>
    <m/>
    <m/>
    <m/>
    <m/>
    <m/>
    <m/>
    <m/>
    <s v="No"/>
    <n v="112"/>
    <m/>
    <m/>
    <x v="3"/>
    <d v="2024-01-22T15:41:00.000"/>
    <s v="Nazis confused by turnstiles is comedy gold. Has anyone scored this yet? https://t.co/sg6clukoQq"/>
    <n v="2382"/>
    <n v="12601"/>
    <n v="98"/>
    <n v="597"/>
    <n v="1546335"/>
    <x v="1"/>
    <m/>
    <m/>
    <m/>
    <s v="https://t.co/sg6clukoQq https://pbs.twimg.com/ext_tw_video_thumb/1749102754260279297/pu/img/ZiNjgduFQezy14-7.jpg"/>
    <s v="video"/>
    <s v="Twitter for iPhone"/>
    <s v="en"/>
    <s v="https://twitter.com/muellershewrote/status/1749457140287479825"/>
    <x v="78"/>
    <d v="2024-01-22T00:00:00.000"/>
    <s v="15:41:00"/>
    <b v="0"/>
    <m/>
    <m/>
    <m/>
    <m/>
    <m/>
    <m/>
    <m/>
    <s v="7_1749102754260279297"/>
    <n v="65080"/>
    <m/>
    <m/>
    <m/>
    <s v="https://pbs.twimg.com/ext_tw_video_thumb/1749102754260279297/pu/img/ZiNjgduFQezy14-7.jpg"/>
    <s v="1749457140287479825"/>
    <s v="1749457140287479825"/>
    <m/>
    <s v=""/>
    <s v=""/>
    <s v=""/>
    <s v="1749457140287479825"/>
    <s v="926164634570067968"/>
    <m/>
    <m/>
    <m/>
    <m/>
    <m/>
    <n v="1"/>
    <s v="42"/>
    <s v="42"/>
    <n v="1"/>
    <n v="8.333333333333334"/>
    <n v="1"/>
    <n v="8.333333333333334"/>
    <n v="0"/>
    <n v="0"/>
    <n v="5"/>
    <n v="41.666666666666664"/>
    <n v="12"/>
  </r>
  <r>
    <s v="murray_tim"/>
    <s v="muellershewrote"/>
    <m/>
    <m/>
    <m/>
    <m/>
    <m/>
    <m/>
    <m/>
    <m/>
    <s v="No"/>
    <n v="113"/>
    <m/>
    <m/>
    <x v="4"/>
    <d v="2024-01-22T19:04:52.000"/>
    <s v="This is the same thing as in blazing saddles , when they put a toll booth in the middle of the desert. https://t.co/WblVWvGLka"/>
    <n v="0"/>
    <n v="0"/>
    <n v="0"/>
    <n v="0"/>
    <n v="119"/>
    <x v="1"/>
    <m/>
    <m/>
    <m/>
    <s v="https://t.co/WblVWvGLka https://pbs.twimg.com/tweet_video_thumb/GEeAqJRa4AITn77.jpg"/>
    <s v="animated_gif"/>
    <s v="Twitter for Android"/>
    <s v="en"/>
    <s v="https://twitter.com/murray_tim/status/1749508447631208808"/>
    <x v="79"/>
    <d v="2024-01-22T00:00:00.000"/>
    <s v="19:04:52"/>
    <b v="0"/>
    <m/>
    <m/>
    <m/>
    <m/>
    <m/>
    <m/>
    <m/>
    <s v="16_1749508441788571650"/>
    <m/>
    <m/>
    <m/>
    <m/>
    <s v="https://pbs.twimg.com/tweet_video_thumb/GEeAqJRa4AITn77.jpg"/>
    <s v="1749508447631208808"/>
    <s v="1749508447631208808"/>
    <m/>
    <s v=""/>
    <s v="1749457140287479825"/>
    <s v=""/>
    <s v="1749457140287479825"/>
    <n v="307536357"/>
    <m/>
    <m/>
    <m/>
    <m/>
    <m/>
    <n v="1"/>
    <s v="42"/>
    <s v="42"/>
    <n v="0"/>
    <n v="0"/>
    <n v="2"/>
    <n v="9.523809523809524"/>
    <n v="0"/>
    <n v="0"/>
    <n v="7"/>
    <n v="33.333333333333336"/>
    <n v="21"/>
  </r>
  <r>
    <s v="weatherjefe"/>
    <s v="weatherjefe"/>
    <m/>
    <m/>
    <m/>
    <m/>
    <m/>
    <m/>
    <m/>
    <m/>
    <s v="No"/>
    <n v="114"/>
    <m/>
    <m/>
    <x v="3"/>
    <d v="2023-04-05T14:18:24.000"/>
    <s v="Today is the 51st anniversary of the 1972 Vancouver Tornado, the deadliest to hit the U.S. west of the Rockies. It was rated an F-3 tornado, killing 6 people &amp;amp; injuring 300. The tornado first touched down in Portland, crossed the Columbia River &amp;amp; moved through Vancouver, WA. https://t.co/x7SOGVPO5C"/>
    <n v="27"/>
    <n v="139"/>
    <n v="3"/>
    <n v="3"/>
    <n v="14868"/>
    <x v="1"/>
    <m/>
    <m/>
    <m/>
    <s v="https://t.co/x7SOGVPO5C https://pbs.twimg.com/ext_tw_video_thumb/1643618784517783552/pu/img/qqNNm1pSdXRmZGpt.jpg"/>
    <s v="video"/>
    <s v="Twitter for iPhone"/>
    <s v="en"/>
    <s v="https://twitter.com/weatherjefe/status/1643619095886155778"/>
    <x v="80"/>
    <d v="2023-04-05T00:00:00.000"/>
    <s v="14:18:24"/>
    <b v="0"/>
    <s v="-122.867581,45.426386 _x000a_-122.867581,45.543398 _x000a_-122.743577,45.543398 _x000a_-122.743577,45.426386 _x000a_-122.867581,45.426386"/>
    <s v="United States"/>
    <s v="US"/>
    <s v="Beaverton, OR"/>
    <s v="e0c5378910ca41e0"/>
    <s v="Beaverton"/>
    <s v="city"/>
    <s v="7_1643618784517783552"/>
    <n v="18685"/>
    <m/>
    <m/>
    <m/>
    <s v="https://pbs.twimg.com/ext_tw_video_thumb/1643618784517783552/pu/img/qqNNm1pSdXRmZGpt.jpg"/>
    <s v="1643619095886155778"/>
    <s v="1643619095886155778"/>
    <m/>
    <s v=""/>
    <s v=""/>
    <s v=""/>
    <s v="1643619095886155778"/>
    <n v="46821352"/>
    <m/>
    <m/>
    <m/>
    <m/>
    <m/>
    <n v="1"/>
    <s v="48"/>
    <s v="48"/>
    <n v="0"/>
    <n v="0"/>
    <n v="1"/>
    <n v="2"/>
    <n v="0"/>
    <n v="0"/>
    <n v="26"/>
    <n v="52"/>
    <n v="50"/>
  </r>
  <r>
    <s v="dedevotesblue"/>
    <s v="sawyerhackett"/>
    <m/>
    <m/>
    <m/>
    <m/>
    <m/>
    <m/>
    <m/>
    <m/>
    <s v="No"/>
    <n v="115"/>
    <m/>
    <m/>
    <x v="4"/>
    <d v="2023-04-28T19:48:55.000"/>
    <s v="The #SupremeCourt is corrupt and a toll for big corporations and the .01%"/>
    <n v="0"/>
    <n v="0"/>
    <n v="0"/>
    <n v="0"/>
    <n v="40"/>
    <x v="11"/>
    <m/>
    <m/>
    <m/>
    <m/>
    <m/>
    <s v="Twitter for iPhone"/>
    <s v="en"/>
    <s v="https://twitter.com/dedevotesblue/status/1652037196151681025"/>
    <x v="81"/>
    <d v="2023-04-28T00:00:00.000"/>
    <s v="19:48:55"/>
    <m/>
    <s v="-122.581184,45.40302 _x000a_-122.581184,45.461537 _x000a_-122.4771975,45.461537 _x000a_-122.4771975,45.40302 _x000a_-122.581184,45.40302"/>
    <s v="United States"/>
    <s v="US"/>
    <s v="Happy Valley, OR"/>
    <s v="00bda52c7eddb627"/>
    <s v="Happy Valley"/>
    <s v="city"/>
    <m/>
    <m/>
    <m/>
    <m/>
    <m/>
    <s v="https://pbs.twimg.com/profile_images/1718830424208683008/6Oi7cFrY_normal.jpg"/>
    <s v="1652037196151681025"/>
    <s v="1652037196151681025"/>
    <m/>
    <s v=""/>
    <s v="1652024275446972424"/>
    <s v=""/>
    <s v="1652024275446972424"/>
    <n v="1454713914"/>
    <m/>
    <m/>
    <m/>
    <m/>
    <m/>
    <n v="1"/>
    <s v="41"/>
    <s v="41"/>
    <n v="0"/>
    <n v="0"/>
    <n v="2"/>
    <n v="15.384615384615385"/>
    <n v="0"/>
    <n v="0"/>
    <n v="4"/>
    <n v="30.76923076923077"/>
    <n v="13"/>
  </r>
  <r>
    <s v="vanhopecomedy"/>
    <s v="meggie_meg26"/>
    <m/>
    <m/>
    <m/>
    <m/>
    <m/>
    <m/>
    <m/>
    <m/>
    <s v="No"/>
    <n v="116"/>
    <m/>
    <m/>
    <x v="2"/>
    <d v="2023-09-07T14:39:16.000"/>
    <s v="@meggie_meg26 Yes. There were toll free hotlines you could call._x000a_If the power was out and you needed to rest your digital clocks."/>
    <n v="1"/>
    <n v="1"/>
    <n v="1"/>
    <n v="0"/>
    <n v="18"/>
    <x v="1"/>
    <m/>
    <m/>
    <s v="meggie_meg26"/>
    <m/>
    <m/>
    <s v="Twitter for Android"/>
    <s v="en"/>
    <s v="https://twitter.com/vanhopecomedy/status/1699794466289353190"/>
    <x v="82"/>
    <d v="2023-09-07T00:00:00.000"/>
    <s v="14:39:16"/>
    <m/>
    <s v="-122.7900653,45.421863 _x000a_-122.7900653,45.6509405 _x000a_-122.471751,45.6509405 _x000a_-122.471751,45.421863 _x000a_-122.7900653,45.421863"/>
    <s v="United States"/>
    <s v="US"/>
    <s v="Portland, OR"/>
    <s v="ac88a4f17a51c7fc"/>
    <s v="Portland"/>
    <s v="city"/>
    <m/>
    <m/>
    <m/>
    <m/>
    <m/>
    <s v="https://pbs.twimg.com/profile_images/1750247463125147648/0O2pv1Ps_normal.jpg"/>
    <s v="1699794466289353190"/>
    <s v="1699793710635167813"/>
    <s v="1287169096224841730"/>
    <s v="1699793710635167813"/>
    <s v=""/>
    <s v=""/>
    <s v="1699793710635167813"/>
    <s v="1520512959625064448"/>
    <m/>
    <m/>
    <m/>
    <m/>
    <m/>
    <n v="1"/>
    <s v="40"/>
    <s v="40"/>
    <n v="1"/>
    <n v="4.3478260869565215"/>
    <n v="1"/>
    <n v="4.3478260869565215"/>
    <n v="0"/>
    <n v="0"/>
    <n v="9"/>
    <n v="39.130434782608695"/>
    <n v="23"/>
  </r>
  <r>
    <s v="foeayem"/>
    <s v="bessbousaa"/>
    <m/>
    <m/>
    <m/>
    <m/>
    <m/>
    <m/>
    <m/>
    <m/>
    <s v="No"/>
    <n v="117"/>
    <m/>
    <m/>
    <x v="2"/>
    <d v="2024-01-23T18:45:54.000"/>
    <s v="@bessbousaa “twenty eight soldiers got blown up trying to add to the already 25 thousand Palestinian death toll” like how much more fucking disgusting can you get"/>
    <n v="0"/>
    <n v="1"/>
    <n v="0"/>
    <n v="0"/>
    <n v="50"/>
    <x v="1"/>
    <m/>
    <m/>
    <s v="bessbousaa"/>
    <m/>
    <m/>
    <s v="Twitter for iPhone"/>
    <s v="en"/>
    <s v="https://twitter.com/foeayem/status/1749866062722809880"/>
    <x v="83"/>
    <d v="2024-01-23T00:00:00.000"/>
    <s v="18:45:54"/>
    <m/>
    <m/>
    <m/>
    <m/>
    <m/>
    <m/>
    <m/>
    <m/>
    <m/>
    <m/>
    <m/>
    <m/>
    <m/>
    <s v="https://pbs.twimg.com/profile_images/1575315701489074176/GN-uNm0m_normal.jpg"/>
    <s v="1749866062722809880"/>
    <s v="1749835858247651520"/>
    <s v="1382151111298125825"/>
    <s v="1749835858247651520"/>
    <s v=""/>
    <s v=""/>
    <s v="1749835858247651520"/>
    <s v="825609640033476611"/>
    <m/>
    <m/>
    <m/>
    <m/>
    <m/>
    <n v="1"/>
    <s v="39"/>
    <s v="39"/>
    <n v="0"/>
    <n v="0"/>
    <n v="4"/>
    <n v="14.814814814814815"/>
    <n v="0"/>
    <n v="0"/>
    <n v="13"/>
    <n v="48.148148148148145"/>
    <n v="27"/>
  </r>
  <r>
    <s v="smithtootie"/>
    <s v="smithtootie"/>
    <m/>
    <m/>
    <m/>
    <m/>
    <m/>
    <m/>
    <m/>
    <m/>
    <s v="No"/>
    <n v="118"/>
    <m/>
    <m/>
    <x v="3"/>
    <d v="2024-01-17T23:09:08.000"/>
    <s v="Citizens have made it clear that they do not want tolling, and that's why I support IP -4, the initiative that requires a citizens' vote before ODOT can put a toll in place. _x000a__x000a_ https://t.co/fvgp0ydOVu https://t.co/ROn6aknS5U"/>
    <n v="19"/>
    <n v="119"/>
    <n v="8"/>
    <n v="2"/>
    <n v="1788"/>
    <x v="1"/>
    <s v="https://bit.ly/3SbbYbm"/>
    <s v="bit.ly"/>
    <m/>
    <s v="https://t.co/ROn6aknS5U https://pbs.twimg.com/media/GEFInvDXgAAmbsy.jpg"/>
    <s v="photo"/>
    <s v="Sendible"/>
    <s v="en"/>
    <s v="https://twitter.com/smithtootie/status/1747757980383121613"/>
    <x v="84"/>
    <d v="2024-01-17T00:00:00.000"/>
    <s v="23:09:08"/>
    <b v="0"/>
    <m/>
    <m/>
    <m/>
    <m/>
    <m/>
    <m/>
    <m/>
    <s v="3_1747757977879150592"/>
    <m/>
    <m/>
    <m/>
    <m/>
    <s v="https://pbs.twimg.com/media/GEFInvDXgAAmbsy.jpg"/>
    <s v="1747757980383121613"/>
    <s v="1747757980383121613"/>
    <m/>
    <s v=""/>
    <s v=""/>
    <s v=""/>
    <s v="1747757980383121613"/>
    <n v="296937534"/>
    <m/>
    <m/>
    <m/>
    <m/>
    <m/>
    <n v="1"/>
    <s v="2"/>
    <s v="2"/>
    <n v="2"/>
    <n v="6.0606060606060606"/>
    <n v="1"/>
    <n v="3.0303030303030303"/>
    <n v="0"/>
    <n v="0"/>
    <n v="12"/>
    <n v="36.36363636363637"/>
    <n v="33"/>
  </r>
  <r>
    <s v="anmolrightnow"/>
    <s v="anmolrightnow"/>
    <m/>
    <m/>
    <m/>
    <m/>
    <m/>
    <m/>
    <m/>
    <m/>
    <s v="No"/>
    <n v="119"/>
    <m/>
    <m/>
    <x v="3"/>
    <d v="2023-03-07T11:03:17.000"/>
    <s v="okay things are starting to take a toll on me"/>
    <n v="0"/>
    <n v="0"/>
    <n v="0"/>
    <n v="0"/>
    <n v="74"/>
    <x v="1"/>
    <m/>
    <m/>
    <m/>
    <m/>
    <m/>
    <s v="Twitter for iPhone"/>
    <s v="en"/>
    <s v="https://twitter.com/anmolrightnow/status/1633060745029246977"/>
    <x v="85"/>
    <d v="2023-03-07T00:00:00.000"/>
    <s v="11:03:17"/>
    <m/>
    <s v="-122.7900653,45.421863 _x000a_-122.7900653,45.6509405 _x000a_-122.471751,45.6509405 _x000a_-122.471751,45.421863 _x000a_-122.7900653,45.421863"/>
    <s v="United States"/>
    <s v="US"/>
    <s v="Portland, OR"/>
    <s v="ac88a4f17a51c7fc"/>
    <s v="Portland"/>
    <s v="city"/>
    <m/>
    <m/>
    <m/>
    <m/>
    <m/>
    <s v="https://pbs.twimg.com/profile_images/1692529067894112256/zxhTLwSr_normal.jpg"/>
    <s v="1633060745029246977"/>
    <s v="1633060745029246977"/>
    <m/>
    <s v=""/>
    <s v=""/>
    <s v=""/>
    <s v="1633060745029246977"/>
    <s v="1337253603916959745"/>
    <m/>
    <m/>
    <m/>
    <m/>
    <m/>
    <n v="1"/>
    <s v="1"/>
    <s v="1"/>
    <n v="0"/>
    <n v="0"/>
    <n v="1"/>
    <n v="10"/>
    <n v="0"/>
    <n v="0"/>
    <n v="4"/>
    <n v="40"/>
    <n v="10"/>
  </r>
  <r>
    <s v="shannoncmallory"/>
    <s v="shannoncmallory"/>
    <m/>
    <m/>
    <m/>
    <m/>
    <m/>
    <m/>
    <m/>
    <m/>
    <s v="No"/>
    <n v="120"/>
    <m/>
    <m/>
    <x v="3"/>
    <d v="2023-05-23T19:07:02.000"/>
    <s v="WOW. #ClimateCrisis_x000a_Hidden Toll of the Northwest Heat Wave: Hundreds of Extra Deaths https://t.co/GhmbEXsfId"/>
    <n v="0"/>
    <n v="0"/>
    <n v="0"/>
    <n v="0"/>
    <n v="18"/>
    <x v="12"/>
    <s v="https://www.nytimes.com/interactive/2021/08/11/climate/deaths-pacific-northwest-heat-wave.html?smid=nytcore-android-share"/>
    <s v="nytimes.com"/>
    <m/>
    <m/>
    <m/>
    <s v="Twitter for Android"/>
    <s v="en"/>
    <s v="https://twitter.com/shannoncmallory/status/1661086352597991424"/>
    <x v="86"/>
    <d v="2023-05-23T00:00:00.000"/>
    <s v="19:07:02"/>
    <b v="0"/>
    <s v="-122.7900653,45.421863 _x000a_-122.7900653,45.6509405 _x000a_-122.471751,45.6509405 _x000a_-122.471751,45.421863 _x000a_-122.7900653,45.421863"/>
    <s v="United States"/>
    <s v="US"/>
    <s v="Portland, OR"/>
    <s v="ac88a4f17a51c7fc"/>
    <s v="Portland"/>
    <s v="city"/>
    <m/>
    <m/>
    <m/>
    <m/>
    <m/>
    <s v="https://pbs.twimg.com/profile_images/1629689892921020416/6_vXKeEX_normal.jpg"/>
    <s v="1661086352597991424"/>
    <s v="1661086352597991424"/>
    <m/>
    <s v=""/>
    <s v=""/>
    <s v=""/>
    <s v="1661086352597991424"/>
    <n v="2563016869"/>
    <m/>
    <m/>
    <m/>
    <m/>
    <m/>
    <n v="1"/>
    <s v="1"/>
    <s v="1"/>
    <n v="1"/>
    <n v="7.6923076923076925"/>
    <n v="1"/>
    <n v="7.6923076923076925"/>
    <n v="0"/>
    <n v="0"/>
    <n v="8"/>
    <n v="61.53846153846154"/>
    <n v="13"/>
  </r>
  <r>
    <s v="petertaylor_01"/>
    <s v="petertaylor_01"/>
    <m/>
    <m/>
    <m/>
    <m/>
    <m/>
    <m/>
    <m/>
    <m/>
    <s v="No"/>
    <n v="121"/>
    <m/>
    <m/>
    <x v="3"/>
    <d v="2023-03-24T20:32:01.000"/>
    <s v="Knock! Knock! ✊🏾who is there? Me…Me who? I am the Realtor who is going to get you a premium price for your home. Call me at my toll free number to get your free buyer or seller consultation. 📲 360-473- 9938 _x000a__x000a_#multnomahcounty #KingCountyWA #washingtoncountyoregon https://t.co/uRSnXd0Uxu"/>
    <n v="0"/>
    <n v="0"/>
    <n v="0"/>
    <n v="0"/>
    <n v="19"/>
    <x v="13"/>
    <m/>
    <m/>
    <m/>
    <s v="https://t.co/uRSnXd0Uxu https://pbs.twimg.com/ext_tw_video_thumb/1639364432638902272/pu/img/S2xX0OaanAnsmflF.jpg"/>
    <s v="video"/>
    <s v="Twitter for iPhone"/>
    <s v="en"/>
    <s v="https://twitter.com/petertaylor_01/status/1639364467489382401"/>
    <x v="87"/>
    <d v="2023-03-24T00:00:00.000"/>
    <s v="20:32:01"/>
    <b v="0"/>
    <s v="-122.7134422,45.5825007 _x000a_-122.7134422,45.6786765 _x000a_-122.4645067,45.6786765 _x000a_-122.4645067,45.5825007 _x000a_-122.7134422,45.5825007"/>
    <s v="United States"/>
    <s v="US"/>
    <s v="Vancouver, WA"/>
    <s v="5a16f6443a850916"/>
    <s v="Vancouver"/>
    <s v="city"/>
    <s v="7_1639364432638902272"/>
    <n v="16033"/>
    <m/>
    <m/>
    <m/>
    <s v="https://pbs.twimg.com/ext_tw_video_thumb/1639364432638902272/pu/img/S2xX0OaanAnsmflF.jpg"/>
    <s v="1639364467489382401"/>
    <s v="1639364467489382401"/>
    <m/>
    <s v=""/>
    <s v=""/>
    <s v=""/>
    <s v="1639364467489382401"/>
    <s v="1190691636235227136"/>
    <m/>
    <m/>
    <m/>
    <m/>
    <m/>
    <n v="1"/>
    <s v="1"/>
    <s v="1"/>
    <n v="2"/>
    <n v="4.444444444444445"/>
    <n v="3"/>
    <n v="6.666666666666667"/>
    <n v="0"/>
    <n v="0"/>
    <n v="16"/>
    <n v="35.55555555555556"/>
    <n v="45"/>
  </r>
  <r>
    <s v="alexiislex"/>
    <s v="alexiislex"/>
    <m/>
    <m/>
    <m/>
    <m/>
    <m/>
    <m/>
    <m/>
    <m/>
    <s v="No"/>
    <n v="122"/>
    <m/>
    <m/>
    <x v="3"/>
    <d v="2023-11-21T23:40:09.000"/>
    <s v="This strike has everyone in a collective shitty ass mood., for over 20 days now!!! Wrap this shit up, it’s taking a mental toll 🥲"/>
    <n v="0"/>
    <n v="0"/>
    <n v="0"/>
    <n v="0"/>
    <n v="29"/>
    <x v="1"/>
    <m/>
    <m/>
    <m/>
    <m/>
    <m/>
    <s v="Twitter for iPhone"/>
    <s v="en"/>
    <s v="https://twitter.com/alexiislex/status/1727109675538362542"/>
    <x v="88"/>
    <d v="2023-11-21T00:00:00.000"/>
    <s v="23:40:09"/>
    <m/>
    <s v="-122.7900653,45.421863 _x000a_-122.7900653,45.6509405 _x000a_-122.471751,45.6509405 _x000a_-122.471751,45.421863 _x000a_-122.7900653,45.421863"/>
    <s v="United States"/>
    <s v="US"/>
    <s v="Portland, OR"/>
    <s v="ac88a4f17a51c7fc"/>
    <s v="Portland"/>
    <s v="city"/>
    <m/>
    <m/>
    <m/>
    <m/>
    <m/>
    <s v="https://pbs.twimg.com/profile_images/1743439784306233344/etKgqrKH_normal.jpg"/>
    <s v="1727109675538362542"/>
    <s v="1727109675538362542"/>
    <m/>
    <s v=""/>
    <s v=""/>
    <s v=""/>
    <s v="1727109675538362542"/>
    <s v="1152011489001107457"/>
    <m/>
    <m/>
    <m/>
    <m/>
    <m/>
    <n v="1"/>
    <s v="1"/>
    <s v="1"/>
    <n v="0"/>
    <n v="0"/>
    <n v="3"/>
    <n v="12"/>
    <n v="0"/>
    <n v="0"/>
    <n v="11"/>
    <n v="44"/>
    <n v="25"/>
  </r>
  <r>
    <s v="dickmar52"/>
    <s v="lakotaman1"/>
    <m/>
    <m/>
    <m/>
    <m/>
    <m/>
    <m/>
    <m/>
    <m/>
    <s v="No"/>
    <n v="123"/>
    <m/>
    <m/>
    <x v="2"/>
    <d v="2023-02-11T20:47:51.000"/>
    <s v="@LakotaMan1 Keep up the good work,  I start 2nd shift tomorrow, I worked days but getting up at 4am takes its toll"/>
    <n v="0"/>
    <n v="0"/>
    <n v="0"/>
    <n v="0"/>
    <n v="4"/>
    <x v="1"/>
    <m/>
    <m/>
    <s v="lakotaman1"/>
    <m/>
    <m/>
    <s v="Twitter for Android"/>
    <s v="en"/>
    <s v="https://twitter.com/dickmar52/status/1624510550893035520"/>
    <x v="89"/>
    <d v="2023-02-11T00:00:00.000"/>
    <s v="20:47:51"/>
    <m/>
    <s v="-122.7134422,45.5825007 _x000a_-122.7134422,45.6786765 _x000a_-122.4645067,45.6786765 _x000a_-122.4645067,45.5825007 _x000a_-122.7134422,45.5825007"/>
    <s v="United States"/>
    <s v="US"/>
    <s v="Vancouver, WA"/>
    <s v="5a16f6443a850916"/>
    <s v="Vancouver"/>
    <s v="city"/>
    <m/>
    <m/>
    <m/>
    <m/>
    <m/>
    <s v="https://pbs.twimg.com/profile_images/1344484370715840513/NBcFRkDf_normal.jpg"/>
    <s v="1624510550893035520"/>
    <s v="1624401607336271873"/>
    <s v="738779772"/>
    <s v="1624401607336271873"/>
    <s v=""/>
    <s v=""/>
    <s v="1624401607336271873"/>
    <n v="1717931833"/>
    <m/>
    <m/>
    <m/>
    <m/>
    <m/>
    <n v="1"/>
    <s v="38"/>
    <s v="38"/>
    <n v="3"/>
    <n v="13.636363636363637"/>
    <n v="1"/>
    <n v="4.545454545454546"/>
    <n v="0"/>
    <n v="0"/>
    <n v="10"/>
    <n v="45.45454545454545"/>
    <n v="22"/>
  </r>
  <r>
    <s v="benedtl"/>
    <s v="oregoncitizen_"/>
    <m/>
    <m/>
    <m/>
    <m/>
    <m/>
    <m/>
    <m/>
    <m/>
    <s v="No"/>
    <n v="124"/>
    <m/>
    <m/>
    <x v="4"/>
    <d v="2024-01-28T17:26:40.000"/>
    <s v="The tax program where the majority of the money collected pays for the administration of the collecting. This toll program has to be stopped."/>
    <n v="42"/>
    <n v="174"/>
    <n v="16"/>
    <n v="2"/>
    <n v="3873"/>
    <x v="1"/>
    <m/>
    <m/>
    <m/>
    <m/>
    <m/>
    <s v="Twitter for iPhone"/>
    <s v="en"/>
    <s v="https://twitter.com/benedtl/status/1751658059280318776"/>
    <x v="90"/>
    <d v="2024-01-28T00:00:00.000"/>
    <s v="17:26:40"/>
    <m/>
    <s v="-122.818314,45.349158 _x000a_-122.818314,45.403778 _x000a_-122.721832,45.403778 _x000a_-122.721832,45.349158 _x000a_-122.818314,45.349158"/>
    <s v="United States"/>
    <s v="US"/>
    <s v="Tualatin, OR"/>
    <s v="ee4298ad58771a16"/>
    <s v="Tualatin"/>
    <s v="city"/>
    <m/>
    <m/>
    <m/>
    <m/>
    <m/>
    <s v="https://pbs.twimg.com/profile_images/1729138548996202496/sqt-CmDG_normal.jpg"/>
    <s v="1751658059280318776"/>
    <s v="1751658059280318776"/>
    <m/>
    <s v=""/>
    <s v="1751318596373168213"/>
    <s v=""/>
    <s v="1751318596373168213"/>
    <n v="49103785"/>
    <m/>
    <m/>
    <m/>
    <m/>
    <m/>
    <n v="1"/>
    <s v="2"/>
    <s v="2"/>
    <n v="0"/>
    <n v="0"/>
    <n v="1"/>
    <n v="4.166666666666667"/>
    <n v="0"/>
    <n v="0"/>
    <n v="10"/>
    <n v="41.666666666666664"/>
    <n v="24"/>
  </r>
  <r>
    <s v="sawyerhackett"/>
    <s v="sawyerhackett"/>
    <m/>
    <m/>
    <m/>
    <m/>
    <m/>
    <m/>
    <m/>
    <m/>
    <s v="No"/>
    <n v="125"/>
    <m/>
    <m/>
    <x v="3"/>
    <d v="2023-04-28T18:57:35.000"/>
    <s v="Wow. A whistleblower alleges that Jane Roberts—wife of Chief Justice John Roberts—was paid more than $10 million in recruiting fees from top law firms that had business in front of the Court. _x000a__x000a_Below is one page of the report showing her earnings. More: https://t.co/ccEDxinEQL https://t.co/RpEkR94DNy"/>
    <n v="6058"/>
    <n v="14148"/>
    <n v="701"/>
    <n v="740"/>
    <n v="2479048"/>
    <x v="1"/>
    <s v="https://www.businessinsider.com/jane-roberts-chief-justice-wife-10-million-commissions-2023-4"/>
    <s v="businessinsider.com"/>
    <m/>
    <s v="https://t.co/RpEkR94DNy https://pbs.twimg.com/media/Fu0rTeAWwBAl-Fd.jpg"/>
    <s v="photo"/>
    <s v="Twitter for iPhone"/>
    <s v="en"/>
    <s v="https://twitter.com/sawyerhackett/status/1652024275446972424"/>
    <x v="91"/>
    <d v="2023-04-28T00:00:00.000"/>
    <s v="18:57:35"/>
    <b v="0"/>
    <m/>
    <m/>
    <m/>
    <m/>
    <m/>
    <m/>
    <m/>
    <s v="3_1652024251786903568"/>
    <m/>
    <m/>
    <m/>
    <m/>
    <s v="https://pbs.twimg.com/media/Fu0rTeAWwBAl-Fd.jpg"/>
    <s v="1652024275446972424"/>
    <s v="1652024275446972424"/>
    <m/>
    <s v=""/>
    <s v=""/>
    <s v=""/>
    <s v="1652024275446972424"/>
    <n v="219141142"/>
    <m/>
    <m/>
    <m/>
    <m/>
    <m/>
    <n v="1"/>
    <s v="41"/>
    <s v="41"/>
    <n v="2"/>
    <n v="4.444444444444445"/>
    <n v="0"/>
    <n v="0"/>
    <n v="0"/>
    <n v="0"/>
    <n v="26"/>
    <n v="57.77777777777778"/>
    <n v="45"/>
  </r>
  <r>
    <s v="pdxsburning"/>
    <s v="deonteddj"/>
    <m/>
    <m/>
    <m/>
    <m/>
    <m/>
    <m/>
    <m/>
    <m/>
    <s v="No"/>
    <n v="126"/>
    <m/>
    <m/>
    <x v="1"/>
    <d v="2024-01-28T19:43:55.000"/>
    <s v="@SamPack00679914 @20MinPromo @deonteddj Last but not least, the current gaza death toll which, according to the health ministry IN GAZA is around 30k.  Approximately 1.5% of what you claimed.  By the way, this took 30 seconds._x000a__x000a_https://t.co/mjvB4KYMlD"/>
    <n v="0"/>
    <n v="1"/>
    <n v="1"/>
    <n v="0"/>
    <n v="27"/>
    <x v="1"/>
    <s v="https://www.voanews.com/a/gaza-death-toll-climbs-above-26-000-health-ministry-reports/7458258.html"/>
    <s v="voanews.com"/>
    <s v="sampack00679914 20minpromo deonteddj"/>
    <m/>
    <m/>
    <s v="Twitter for Android"/>
    <s v="en"/>
    <s v="https://twitter.com/pdxsburning/status/1751692600908902683"/>
    <x v="92"/>
    <d v="2024-01-28T00:00:00.000"/>
    <s v="19:43:55"/>
    <b v="0"/>
    <m/>
    <m/>
    <m/>
    <m/>
    <m/>
    <m/>
    <m/>
    <m/>
    <m/>
    <m/>
    <m/>
    <m/>
    <s v="https://pbs.twimg.com/profile_images/1507397934769344514/c2CFljRv_normal.jpg"/>
    <s v="1751692600908902683"/>
    <s v="1751662544664551922"/>
    <s v="1491160462876049410"/>
    <s v="1751692174557888666"/>
    <s v=""/>
    <s v=""/>
    <s v="1751692174557888666"/>
    <s v="1491160462876049410"/>
    <m/>
    <m/>
    <m/>
    <m/>
    <m/>
    <n v="1"/>
    <s v="15"/>
    <s v="15"/>
    <m/>
    <m/>
    <m/>
    <m/>
    <m/>
    <m/>
    <m/>
    <m/>
    <m/>
  </r>
  <r>
    <s v="hannahcrazyhawk"/>
    <s v="joannanobanana"/>
    <m/>
    <m/>
    <m/>
    <m/>
    <m/>
    <m/>
    <m/>
    <m/>
    <s v="No"/>
    <n v="129"/>
    <m/>
    <m/>
    <x v="4"/>
    <d v="2023-10-29T22:15:05.000"/>
    <s v="Yes, but not anymore. I just had to move because of mold. The toll it took on my body and mind was and still is hell. It’s horrible here in the PNW. This isn’t the first time I’ve had to flee my home because of mold and other environmental toxins. _x000a__x000a_#MCAS #chronicillness"/>
    <n v="0"/>
    <n v="0"/>
    <n v="0"/>
    <n v="0"/>
    <n v="59"/>
    <x v="14"/>
    <m/>
    <m/>
    <m/>
    <m/>
    <m/>
    <s v="Twitter for iPhone"/>
    <s v="en"/>
    <s v="https://twitter.com/hannahcrazyhawk/status/1718753345513677013"/>
    <x v="93"/>
    <d v="2023-10-29T00:00:00.000"/>
    <s v="22:15:05"/>
    <m/>
    <s v="-123.011705,45.488124 _x000a_-123.011705,45.573434 _x000a_-122.859355,45.573434 _x000a_-122.859355,45.488124 _x000a_-123.011705,45.488124"/>
    <s v="United States"/>
    <s v="US"/>
    <s v="Hillsboro, OR"/>
    <s v="01bd241973160cac"/>
    <s v="Hillsboro"/>
    <s v="city"/>
    <m/>
    <m/>
    <m/>
    <m/>
    <m/>
    <s v="https://pbs.twimg.com/profile_images/1596714154340937728/ljbAcB07_normal.jpg"/>
    <s v="1718753345513677013"/>
    <s v="1718753345513677013"/>
    <m/>
    <s v=""/>
    <s v="1718715534114517365"/>
    <s v=""/>
    <s v="1718715534114517365"/>
    <n v="157617240"/>
    <m/>
    <m/>
    <m/>
    <m/>
    <m/>
    <n v="1"/>
    <s v="37"/>
    <s v="37"/>
    <n v="0"/>
    <n v="0"/>
    <n v="4"/>
    <n v="7.2727272727272725"/>
    <n v="0"/>
    <n v="0"/>
    <n v="19"/>
    <n v="34.54545454545455"/>
    <n v="55"/>
  </r>
  <r>
    <s v="seiginotora_tm"/>
    <s v="kiryussideburns"/>
    <m/>
    <m/>
    <m/>
    <m/>
    <m/>
    <m/>
    <m/>
    <m/>
    <s v="No"/>
    <n v="130"/>
    <m/>
    <m/>
    <x v="2"/>
    <d v="2023-08-19T15:59:31.000"/>
    <s v="@kiryussideburns Kiryu is an all-loving hero. Much of what he does he does out of love. And he especially loves Haruka and the orphans he helped raise. _x000a_Being deprived of the closest thing he has to a family would damn sure take its toll on him. So yeah, he has every right to just let it all out."/>
    <n v="1"/>
    <n v="1"/>
    <n v="0"/>
    <n v="0"/>
    <n v="134"/>
    <x v="1"/>
    <m/>
    <m/>
    <s v="kiryussideburns"/>
    <m/>
    <m/>
    <s v="Twitter for iPhone"/>
    <s v="en"/>
    <s v="https://twitter.com/seiginotora_tm/status/1692929296292356600"/>
    <x v="94"/>
    <d v="2023-08-19T00:00:00.000"/>
    <s v="15:59:31"/>
    <m/>
    <s v="-122.7900653,45.421863 _x000a_-122.7900653,45.6509405 _x000a_-122.471751,45.6509405 _x000a_-122.471751,45.421863 _x000a_-122.7900653,45.421863"/>
    <s v="United States"/>
    <s v="US"/>
    <s v="Portland, OR"/>
    <s v="ac88a4f17a51c7fc"/>
    <s v="Portland"/>
    <s v="city"/>
    <m/>
    <m/>
    <m/>
    <m/>
    <m/>
    <s v="https://pbs.twimg.com/profile_images/1674992788155559936/Gx1lxpRR_normal.jpg"/>
    <s v="1692929296292356600"/>
    <s v="1692702597705069048"/>
    <s v="745436766375534593"/>
    <s v="1692702597705069048"/>
    <s v=""/>
    <s v=""/>
    <s v="1692702597705069048"/>
    <s v="1133028237947199489"/>
    <m/>
    <m/>
    <m/>
    <m/>
    <m/>
    <n v="1"/>
    <s v="36"/>
    <s v="36"/>
    <n v="6"/>
    <n v="10.169491525423728"/>
    <n v="3"/>
    <n v="5.084745762711864"/>
    <n v="0"/>
    <n v="0"/>
    <n v="14"/>
    <n v="23.728813559322035"/>
    <n v="59"/>
  </r>
  <r>
    <s v="seiginotora_tm"/>
    <s v="seiginotora_tm"/>
    <m/>
    <m/>
    <m/>
    <m/>
    <m/>
    <m/>
    <m/>
    <m/>
    <s v="No"/>
    <n v="131"/>
    <m/>
    <m/>
    <x v="3"/>
    <d v="2023-11-03T19:26:21.000"/>
    <s v="Last night’s misadventure is now taking its toll on me… my legs are hurting bad and I got under two more hours of work. _x000a__x000a_I don’t know if I can make it."/>
    <n v="0"/>
    <n v="0"/>
    <n v="0"/>
    <n v="0"/>
    <n v="34"/>
    <x v="1"/>
    <m/>
    <m/>
    <m/>
    <m/>
    <m/>
    <s v="Twitter for iPhone"/>
    <s v="en"/>
    <s v="https://twitter.com/seiginotora_tm/status/1720522821670175086"/>
    <x v="95"/>
    <d v="2023-11-03T00:00:00.000"/>
    <s v="19:26:21"/>
    <m/>
    <s v="-122.7900653,45.421863 _x000a_-122.7900653,45.6509405 _x000a_-122.471751,45.6509405 _x000a_-122.471751,45.421863 _x000a_-122.7900653,45.421863"/>
    <s v="United States"/>
    <s v="US"/>
    <s v="Portland, OR"/>
    <s v="ac88a4f17a51c7fc"/>
    <s v="Portland"/>
    <s v="city"/>
    <m/>
    <m/>
    <m/>
    <m/>
    <m/>
    <s v="https://pbs.twimg.com/profile_images/1674992788155559936/Gx1lxpRR_normal.jpg"/>
    <s v="1720522821670175086"/>
    <s v="1720522821670175086"/>
    <m/>
    <s v=""/>
    <s v=""/>
    <s v=""/>
    <s v="1720522821670175086"/>
    <s v="1133028237947199489"/>
    <m/>
    <m/>
    <m/>
    <m/>
    <m/>
    <n v="1"/>
    <s v="36"/>
    <s v="36"/>
    <n v="1"/>
    <n v="2.9411764705882355"/>
    <n v="3"/>
    <n v="8.823529411764707"/>
    <n v="0"/>
    <n v="0"/>
    <n v="12"/>
    <n v="35.294117647058826"/>
    <n v="34"/>
  </r>
  <r>
    <s v="nickfent"/>
    <s v="nickfent"/>
    <m/>
    <m/>
    <m/>
    <m/>
    <m/>
    <m/>
    <m/>
    <m/>
    <s v="No"/>
    <n v="132"/>
    <m/>
    <m/>
    <x v="3"/>
    <d v="2023-01-11T02:28:03.000"/>
    <s v="Huh, my partner who doesn’t drive, who’s car we sold in 2021 some how got a toll 3 days in a row in Texas at the start of December 2022. Even though we’ve been gone since the end of 2021 😂😂"/>
    <n v="0"/>
    <n v="1"/>
    <n v="0"/>
    <n v="0"/>
    <n v="81"/>
    <x v="1"/>
    <m/>
    <m/>
    <m/>
    <m/>
    <m/>
    <s v="Twitter for iPhone"/>
    <s v="en"/>
    <s v="https://twitter.com/nickfent/status/1612999750961463296"/>
    <x v="96"/>
    <d v="2023-01-11T00:00:00.000"/>
    <s v="02:28:03"/>
    <m/>
    <s v="-122.7900653,45.421863 _x000a_-122.7900653,45.6509405 _x000a_-122.471751,45.6509405 _x000a_-122.471751,45.421863 _x000a_-122.7900653,45.421863"/>
    <s v="United States"/>
    <s v="US"/>
    <s v="Portland, OR"/>
    <s v="ac88a4f17a51c7fc"/>
    <s v="Portland"/>
    <s v="city"/>
    <m/>
    <m/>
    <m/>
    <m/>
    <m/>
    <s v="https://pbs.twimg.com/profile_images/1731427977618190337/6OHyrX1G_normal.jpg"/>
    <s v="1612999750961463296"/>
    <s v="1612999750961463296"/>
    <m/>
    <s v=""/>
    <s v=""/>
    <s v=""/>
    <s v="1612999750961463296"/>
    <n v="2307566251"/>
    <m/>
    <m/>
    <m/>
    <m/>
    <m/>
    <n v="1"/>
    <s v="1"/>
    <s v="1"/>
    <n v="0"/>
    <n v="0"/>
    <n v="1"/>
    <n v="2.3255813953488373"/>
    <n v="0"/>
    <n v="0"/>
    <n v="17"/>
    <n v="39.53488372093023"/>
    <n v="43"/>
  </r>
  <r>
    <s v="oddswithgop"/>
    <s v="oddswithgop"/>
    <m/>
    <m/>
    <m/>
    <m/>
    <m/>
    <m/>
    <m/>
    <m/>
    <s v="No"/>
    <n v="133"/>
    <m/>
    <m/>
    <x v="3"/>
    <d v="2023-01-02T23:48:36.000"/>
    <s v="Years of Covid lockdowns have taken a brutal toll on the country’s businesses. Now, the uncontrolled spread of the coronavirus after the country’s chaotic reopening has deprived them of workers and customers, writes our Beijing bureau chief. _x000a_China really f ed up with Covid!"/>
    <n v="0"/>
    <n v="5"/>
    <n v="0"/>
    <n v="0"/>
    <n v="148"/>
    <x v="1"/>
    <m/>
    <m/>
    <m/>
    <m/>
    <m/>
    <s v="Twitter for iPhone"/>
    <s v="en"/>
    <s v="https://twitter.com/oddswithgop/status/1610060521012891648"/>
    <x v="97"/>
    <d v="2023-01-02T00:00:00.000"/>
    <s v="23:48:36"/>
    <m/>
    <s v="-122.8401675,45.393108 _x000a_-122.8401675,45.456634 _x000a_-122.74354,45.456634 _x000a_-122.74354,45.393108 _x000a_-122.8401675,45.393108"/>
    <s v="United States"/>
    <s v="US"/>
    <s v="Tigard, OR"/>
    <s v="d1f122645b638aec"/>
    <s v="Tigard"/>
    <s v="city"/>
    <m/>
    <m/>
    <m/>
    <m/>
    <m/>
    <s v="https://pbs.twimg.com/profile_images/1520272245645475840/Q6FI7o5t_normal.jpg"/>
    <s v="1610060521012891648"/>
    <s v="1610060521012891648"/>
    <m/>
    <s v=""/>
    <s v=""/>
    <s v=""/>
    <s v="1610060521012891648"/>
    <s v="970027558845661184"/>
    <m/>
    <m/>
    <m/>
    <m/>
    <m/>
    <n v="7"/>
    <s v="1"/>
    <s v="1"/>
    <n v="0"/>
    <n v="0"/>
    <n v="5"/>
    <n v="10.869565217391305"/>
    <n v="0"/>
    <n v="0"/>
    <n v="20"/>
    <n v="43.47826086956522"/>
    <n v="46"/>
  </r>
  <r>
    <s v="oddswithgop"/>
    <s v="oddswithgop"/>
    <m/>
    <m/>
    <m/>
    <m/>
    <m/>
    <m/>
    <m/>
    <m/>
    <s v="No"/>
    <n v="134"/>
    <m/>
    <m/>
    <x v="3"/>
    <d v="2023-01-16T23:47:43.000"/>
    <s v="The United Nations said today that it had confirmed the deaths of more than 7,000 Ukrainian civilians in the 11 months since Russia invaded, but the organization said the real toll was far higher."/>
    <n v="12"/>
    <n v="19"/>
    <n v="3"/>
    <n v="0"/>
    <n v="447"/>
    <x v="1"/>
    <m/>
    <m/>
    <m/>
    <m/>
    <m/>
    <s v="Twitter for iPhone"/>
    <s v="en"/>
    <s v="https://twitter.com/oddswithgop/status/1615133728845754368"/>
    <x v="98"/>
    <d v="2023-01-16T00:00:00.000"/>
    <s v="23:47:43"/>
    <m/>
    <s v="-122.869771,45.345593 _x000a_-122.869771,45.376774 _x000a_-122.805551,45.376774 _x000a_-122.805551,45.345593 _x000a_-122.869771,45.345593"/>
    <s v="United States"/>
    <s v="US"/>
    <s v="Sherwood, OR"/>
    <s v="6870523b6f8d96e6"/>
    <s v="Sherwood"/>
    <s v="city"/>
    <m/>
    <m/>
    <m/>
    <m/>
    <m/>
    <s v="https://pbs.twimg.com/profile_images/1520272245645475840/Q6FI7o5t_normal.jpg"/>
    <s v="1615133728845754368"/>
    <s v="1615133728845754368"/>
    <m/>
    <s v=""/>
    <s v=""/>
    <s v=""/>
    <s v="1615133728845754368"/>
    <s v="970027558845661184"/>
    <m/>
    <m/>
    <m/>
    <m/>
    <m/>
    <n v="7"/>
    <s v="1"/>
    <s v="1"/>
    <n v="0"/>
    <n v="0"/>
    <n v="1"/>
    <n v="2.857142857142857"/>
    <n v="0"/>
    <n v="0"/>
    <n v="16"/>
    <n v="45.714285714285715"/>
    <n v="35"/>
  </r>
  <r>
    <s v="oddswithgop"/>
    <s v="oddswithgop"/>
    <m/>
    <m/>
    <m/>
    <m/>
    <m/>
    <m/>
    <m/>
    <m/>
    <s v="No"/>
    <n v="135"/>
    <m/>
    <m/>
    <x v="3"/>
    <d v="2023-01-16T23:41:45.000"/>
    <s v="The death toll in a Ukrainian apartment strike up to 40. _x000a_F ing genocidal criminals!"/>
    <n v="13"/>
    <n v="50"/>
    <n v="3"/>
    <n v="0"/>
    <n v="435"/>
    <x v="1"/>
    <m/>
    <m/>
    <m/>
    <m/>
    <m/>
    <s v="Twitter for iPhone"/>
    <s v="en"/>
    <s v="https://twitter.com/oddswithgop/status/1615132228710985728"/>
    <x v="99"/>
    <d v="2023-01-16T00:00:00.000"/>
    <s v="23:41:45"/>
    <m/>
    <s v="-122.869771,45.345593 _x000a_-122.869771,45.376774 _x000a_-122.805551,45.376774 _x000a_-122.805551,45.345593 _x000a_-122.869771,45.345593"/>
    <s v="United States"/>
    <s v="US"/>
    <s v="Sherwood, OR"/>
    <s v="6870523b6f8d96e6"/>
    <s v="Sherwood"/>
    <s v="city"/>
    <m/>
    <m/>
    <m/>
    <m/>
    <m/>
    <s v="https://pbs.twimg.com/profile_images/1520272245645475840/Q6FI7o5t_normal.jpg"/>
    <s v="1615132228710985728"/>
    <s v="1615132228710985728"/>
    <m/>
    <s v=""/>
    <s v=""/>
    <s v=""/>
    <s v="1615132228710985728"/>
    <s v="970027558845661184"/>
    <m/>
    <m/>
    <m/>
    <m/>
    <m/>
    <n v="7"/>
    <s v="1"/>
    <s v="1"/>
    <n v="0"/>
    <n v="0"/>
    <n v="3"/>
    <n v="20"/>
    <n v="0"/>
    <n v="0"/>
    <n v="6"/>
    <n v="40"/>
    <n v="15"/>
  </r>
  <r>
    <s v="oddswithgop"/>
    <s v="oddswithgop"/>
    <m/>
    <m/>
    <m/>
    <m/>
    <m/>
    <m/>
    <m/>
    <m/>
    <s v="No"/>
    <n v="136"/>
    <m/>
    <m/>
    <x v="3"/>
    <d v="2023-02-12T00:11:14.000"/>
    <s v="As the death toll in Turkey and Syria passed 28,000, Ankara was coming under growing criticism for its slow response and tolerance of shoddy construction."/>
    <n v="8"/>
    <n v="24"/>
    <n v="3"/>
    <n v="0"/>
    <n v="559"/>
    <x v="1"/>
    <m/>
    <m/>
    <m/>
    <m/>
    <m/>
    <s v="Twitter for iPhone"/>
    <s v="en"/>
    <s v="https://twitter.com/oddswithgop/status/1624561730180517888"/>
    <x v="100"/>
    <d v="2023-02-12T00:00:00.000"/>
    <s v="00:11:14"/>
    <m/>
    <s v="-122.807286,45.281815 _x000a_-122.807286,45.340517 _x000a_-122.742838,45.340517 _x000a_-122.742838,45.281815 _x000a_-122.807286,45.281815"/>
    <s v="United States"/>
    <s v="US"/>
    <s v="Wilsonville, OR"/>
    <s v="b08b39af5eca8b4c"/>
    <s v="Wilsonville"/>
    <s v="city"/>
    <m/>
    <m/>
    <m/>
    <m/>
    <m/>
    <s v="https://pbs.twimg.com/profile_images/1520272245645475840/Q6FI7o5t_normal.jpg"/>
    <s v="1624561730180517888"/>
    <s v="1624561730180517888"/>
    <m/>
    <s v=""/>
    <s v=""/>
    <s v=""/>
    <s v="1624561730180517888"/>
    <s v="970027558845661184"/>
    <m/>
    <m/>
    <m/>
    <m/>
    <m/>
    <n v="7"/>
    <s v="1"/>
    <s v="1"/>
    <n v="0"/>
    <n v="0"/>
    <n v="5"/>
    <n v="19.23076923076923"/>
    <n v="0"/>
    <n v="0"/>
    <n v="12"/>
    <n v="46.15384615384615"/>
    <n v="26"/>
  </r>
  <r>
    <s v="oddswithgop"/>
    <s v="oddswithgop"/>
    <m/>
    <m/>
    <m/>
    <m/>
    <m/>
    <m/>
    <m/>
    <m/>
    <s v="No"/>
    <n v="137"/>
    <m/>
    <m/>
    <x v="3"/>
    <d v="2023-08-10T23:17:28.000"/>
    <s v="President Biden issued a major disaster declaration for Maui as evacuation centers filled and tourists fled from the island in the wake of a fast-moving wildfire. The death toll climbed to 36, and hundreds of buildings were damaged in  tourist town of Lahaina and western coast."/>
    <n v="0"/>
    <n v="0"/>
    <n v="0"/>
    <n v="0"/>
    <n v="177"/>
    <x v="1"/>
    <m/>
    <m/>
    <m/>
    <m/>
    <m/>
    <s v="Twitter for iPhone"/>
    <s v="en"/>
    <s v="https://twitter.com/oddswithgop/status/1689778018502561795"/>
    <x v="101"/>
    <d v="2023-08-10T00:00:00.000"/>
    <s v="23:17:28"/>
    <m/>
    <s v="-122.750195,45.3822163 _x000a_-122.750195,45.44028 _x000a_-122.642587,45.44028 _x000a_-122.642587,45.3822163 _x000a_-122.750195,45.3822163"/>
    <s v="United States"/>
    <s v="US"/>
    <s v="Lake Oswego, OR"/>
    <s v="386b4dc0b52f8b48"/>
    <s v="Lake Oswego"/>
    <s v="city"/>
    <m/>
    <m/>
    <m/>
    <m/>
    <m/>
    <s v="https://pbs.twimg.com/profile_images/1520272245645475840/Q6FI7o5t_normal.jpg"/>
    <s v="1689778018502561795"/>
    <s v="1689778018502561795"/>
    <m/>
    <s v=""/>
    <s v=""/>
    <s v=""/>
    <s v="1689778018502561795"/>
    <s v="970027558845661184"/>
    <m/>
    <m/>
    <m/>
    <m/>
    <m/>
    <n v="7"/>
    <s v="1"/>
    <s v="1"/>
    <n v="1"/>
    <n v="2.127659574468085"/>
    <n v="4"/>
    <n v="8.51063829787234"/>
    <n v="0"/>
    <n v="0"/>
    <n v="24"/>
    <n v="51.06382978723404"/>
    <n v="47"/>
  </r>
  <r>
    <s v="oddswithgop"/>
    <s v="oddswithgop"/>
    <m/>
    <m/>
    <m/>
    <m/>
    <m/>
    <m/>
    <m/>
    <m/>
    <s v="No"/>
    <n v="138"/>
    <m/>
    <m/>
    <x v="3"/>
    <d v="2023-02-08T00:01:54.000"/>
    <s v="Rescuers are racing against time as the earthquake’s death toll rises to 7,700 in Turkey and Syria._x000a_Thousands of rescue workers spent all day today digging through debris after yesterday’s 7.8-magnitude quake. Turkish officials said that more than 8,000 people had been rescued."/>
    <n v="8"/>
    <n v="32"/>
    <n v="7"/>
    <n v="0"/>
    <n v="844"/>
    <x v="1"/>
    <m/>
    <m/>
    <m/>
    <m/>
    <m/>
    <s v="Twitter for iPhone"/>
    <s v="en"/>
    <s v="https://twitter.com/oddswithgop/status/1623109832999055360"/>
    <x v="102"/>
    <d v="2023-02-08T00:00:00.000"/>
    <s v="00:01:54"/>
    <m/>
    <s v="-122.869771,45.345593 _x000a_-122.869771,45.376774 _x000a_-122.805551,45.376774 _x000a_-122.805551,45.345593 _x000a_-122.869771,45.345593"/>
    <s v="United States"/>
    <s v="US"/>
    <s v="Sherwood, OR"/>
    <s v="6870523b6f8d96e6"/>
    <s v="Sherwood"/>
    <s v="city"/>
    <m/>
    <m/>
    <m/>
    <m/>
    <m/>
    <s v="https://pbs.twimg.com/profile_images/1520272245645475840/Q6FI7o5t_normal.jpg"/>
    <s v="1623109832999055360"/>
    <s v="1623109832999055360"/>
    <m/>
    <s v=""/>
    <s v=""/>
    <s v=""/>
    <s v="1623109832999055360"/>
    <s v="970027558845661184"/>
    <m/>
    <m/>
    <m/>
    <m/>
    <m/>
    <n v="7"/>
    <s v="1"/>
    <s v="1"/>
    <n v="0"/>
    <n v="0"/>
    <n v="2"/>
    <n v="4.081632653061225"/>
    <n v="0"/>
    <n v="0"/>
    <n v="26"/>
    <n v="53.06122448979592"/>
    <n v="49"/>
  </r>
  <r>
    <s v="oddswithgop"/>
    <s v="oddswithgop"/>
    <m/>
    <m/>
    <m/>
    <m/>
    <m/>
    <m/>
    <m/>
    <m/>
    <s v="No"/>
    <n v="139"/>
    <m/>
    <m/>
    <x v="3"/>
    <d v="2023-08-16T02:57:43.000"/>
    <s v="The death toll in Maui has surpassed 100, Gov. Josh Green of Hawaii said. The victims have not yet been publicly identified._x000a_Tuesday, August 15, 2023 10:44 PM ET_x000a_One of the worst natural disasters in Hawaii’s history, and the deadliest wildfire in the U.S. since 1918. 😥"/>
    <n v="1"/>
    <n v="7"/>
    <n v="1"/>
    <n v="0"/>
    <n v="94"/>
    <x v="1"/>
    <m/>
    <m/>
    <m/>
    <m/>
    <m/>
    <s v="Twitter for iPhone"/>
    <s v="en"/>
    <s v="https://twitter.com/oddswithgop/status/1691645384270192841"/>
    <x v="103"/>
    <d v="2023-08-16T00:00:00.000"/>
    <s v="02:57:43"/>
    <m/>
    <s v="-122.8401675,45.393108 _x000a_-122.8401675,45.456634 _x000a_-122.74354,45.456634 _x000a_-122.74354,45.393108 _x000a_-122.8401675,45.393108"/>
    <s v="United States"/>
    <s v="US"/>
    <s v="Tigard, OR"/>
    <s v="d1f122645b638aec"/>
    <s v="Tigard"/>
    <s v="city"/>
    <m/>
    <m/>
    <m/>
    <m/>
    <m/>
    <s v="https://pbs.twimg.com/profile_images/1520272245645475840/Q6FI7o5t_normal.jpg"/>
    <s v="1691645384270192841"/>
    <s v="1691645384270192841"/>
    <m/>
    <s v=""/>
    <s v=""/>
    <s v=""/>
    <s v="1691645384270192841"/>
    <s v="970027558845661184"/>
    <m/>
    <m/>
    <m/>
    <m/>
    <m/>
    <n v="7"/>
    <s v="1"/>
    <s v="1"/>
    <n v="0"/>
    <n v="0"/>
    <n v="3"/>
    <n v="6"/>
    <n v="0"/>
    <n v="0"/>
    <n v="25"/>
    <n v="50"/>
    <n v="50"/>
  </r>
  <r>
    <s v="a21starman"/>
    <s v="newworldanglo"/>
    <m/>
    <m/>
    <m/>
    <m/>
    <m/>
    <m/>
    <m/>
    <m/>
    <s v="No"/>
    <n v="140"/>
    <m/>
    <m/>
    <x v="1"/>
    <d v="2023-06-12T16:22:16.000"/>
    <s v="@NickRoj80278654 @NewWorldAnglo Also, the death toll for the ideology of communism is large, true, but it’s just fascism and dictatorship masquerading as communism. Any political system looks good in theory with one exception, that being Nazism. That’s the inherent problem it has. That and the genocide."/>
    <n v="0"/>
    <n v="2"/>
    <n v="0"/>
    <n v="0"/>
    <n v="66"/>
    <x v="1"/>
    <m/>
    <m/>
    <s v="nickroj80278654 newworldanglo"/>
    <m/>
    <m/>
    <s v="Twitter for iPhone"/>
    <s v="en"/>
    <s v="https://twitter.com/a21starman/status/1668292643582013444"/>
    <x v="104"/>
    <d v="2023-06-12T00:00:00.000"/>
    <s v="16:22:16"/>
    <m/>
    <s v="-122.8401675,45.393108 _x000a_-122.8401675,45.456634 _x000a_-122.74354,45.456634 _x000a_-122.74354,45.393108 _x000a_-122.8401675,45.393108"/>
    <s v="United States"/>
    <s v="US"/>
    <s v="Tigard, OR"/>
    <s v="d1f122645b638aec"/>
    <s v="Tigard"/>
    <s v="city"/>
    <m/>
    <m/>
    <m/>
    <m/>
    <m/>
    <s v="https://pbs.twimg.com/profile_images/1745292342318469120/FhRvP2yi_normal.jpg"/>
    <s v="1668292643582013444"/>
    <s v="1668000279546019845"/>
    <s v="872192111214338048"/>
    <s v="1668290553287708673"/>
    <s v=""/>
    <s v=""/>
    <s v="1668290553287708673"/>
    <s v="872192111214338048"/>
    <m/>
    <m/>
    <m/>
    <m/>
    <m/>
    <n v="1"/>
    <s v="14"/>
    <s v="14"/>
    <n v="1"/>
    <n v="2.0833333333333335"/>
    <n v="5"/>
    <n v="10.416666666666666"/>
    <n v="0"/>
    <n v="0"/>
    <n v="18"/>
    <n v="37.5"/>
    <n v="48"/>
  </r>
  <r>
    <s v="a21starman"/>
    <s v="maxmad39388773"/>
    <m/>
    <m/>
    <m/>
    <m/>
    <m/>
    <m/>
    <m/>
    <m/>
    <s v="No"/>
    <n v="141"/>
    <m/>
    <m/>
    <x v="1"/>
    <d v="2023-06-03T04:21:57.000"/>
    <s v="@lesnara2 @Maxmad39388773 From her father and band mates has taken a toll on her."/>
    <n v="0"/>
    <n v="2"/>
    <n v="0"/>
    <n v="0"/>
    <n v="32"/>
    <x v="1"/>
    <m/>
    <m/>
    <s v="lesnara2 maxmad39388773"/>
    <m/>
    <m/>
    <s v="Twitter for iPhone"/>
    <s v="en"/>
    <s v="https://twitter.com/a21starman/status/1664849878642753536"/>
    <x v="105"/>
    <d v="2023-06-03T00:00:00.000"/>
    <s v="04:21:57"/>
    <m/>
    <s v="-122.8401675,45.393108 _x000a_-122.8401675,45.456634 _x000a_-122.74354,45.456634 _x000a_-122.74354,45.393108 _x000a_-122.8401675,45.393108"/>
    <s v="United States"/>
    <s v="US"/>
    <s v="Tigard, OR"/>
    <s v="d1f122645b638aec"/>
    <s v="Tigard"/>
    <s v="city"/>
    <m/>
    <m/>
    <m/>
    <m/>
    <m/>
    <s v="https://pbs.twimg.com/profile_images/1745292342318469120/FhRvP2yi_normal.jpg"/>
    <s v="1664849878642753536"/>
    <s v="1664839033665495040"/>
    <s v="872192111214338048"/>
    <s v="1664849757892915200"/>
    <s v=""/>
    <s v=""/>
    <s v="1664849757892915200"/>
    <s v="872192111214338048"/>
    <m/>
    <m/>
    <m/>
    <m/>
    <m/>
    <n v="1"/>
    <s v="14"/>
    <s v="14"/>
    <n v="0"/>
    <n v="0"/>
    <n v="1"/>
    <n v="7.142857142857143"/>
    <n v="0"/>
    <n v="0"/>
    <n v="6"/>
    <n v="42.857142857142854"/>
    <n v="14"/>
  </r>
  <r>
    <s v="dutch52050550"/>
    <s v="streetfighthard"/>
    <m/>
    <m/>
    <m/>
    <m/>
    <m/>
    <m/>
    <m/>
    <m/>
    <s v="No"/>
    <n v="144"/>
    <m/>
    <m/>
    <x v="2"/>
    <d v="2024-01-22T03:33:18.000"/>
    <s v="@streetfighthard Paid the toll"/>
    <n v="0"/>
    <n v="0"/>
    <n v="0"/>
    <n v="0"/>
    <n v="3"/>
    <x v="1"/>
    <m/>
    <m/>
    <s v="streetfighthard"/>
    <m/>
    <m/>
    <s v="Twitter for iPhone"/>
    <s v="en"/>
    <s v="https://twitter.com/dutch52050550/status/1749274009307652506"/>
    <x v="106"/>
    <d v="2024-01-22T00:00:00.000"/>
    <s v="03:33:18"/>
    <m/>
    <m/>
    <m/>
    <m/>
    <m/>
    <m/>
    <m/>
    <m/>
    <m/>
    <m/>
    <m/>
    <m/>
    <m/>
    <s v="https://pbs.twimg.com/profile_images/1608710889632583680/1taUYWyB_normal.jpg"/>
    <s v="1749274009307652506"/>
    <s v="1749088977984909471"/>
    <s v="1448945734590533685"/>
    <s v="1749088977984909471"/>
    <s v=""/>
    <s v=""/>
    <s v="1749088977984909471"/>
    <s v="1357165781205745664"/>
    <m/>
    <m/>
    <m/>
    <m/>
    <m/>
    <n v="1"/>
    <s v="35"/>
    <s v="35"/>
    <n v="0"/>
    <n v="0"/>
    <n v="1"/>
    <n v="25"/>
    <n v="0"/>
    <n v="0"/>
    <n v="2"/>
    <n v="50"/>
    <n v="4"/>
  </r>
  <r>
    <s v="lostdiva"/>
    <s v="wadeturnbull"/>
    <m/>
    <m/>
    <m/>
    <m/>
    <m/>
    <m/>
    <m/>
    <m/>
    <s v="No"/>
    <n v="145"/>
    <m/>
    <m/>
    <x v="1"/>
    <d v="2024-01-25T01:07:15.000"/>
    <s v="@Marypop987 @WadeTurnbull Be specific cos the death toll is like 38k Gaza, 1,400 Israel"/>
    <n v="0"/>
    <n v="0"/>
    <n v="0"/>
    <n v="0"/>
    <n v="12"/>
    <x v="1"/>
    <m/>
    <m/>
    <s v="marypop987 wadeturnbull"/>
    <m/>
    <m/>
    <s v="Twitter for iPad"/>
    <s v="en"/>
    <s v="https://twitter.com/lostdiva/status/1750324419812339959"/>
    <x v="107"/>
    <d v="2024-01-25T00:00:00.000"/>
    <s v="01:07:15"/>
    <m/>
    <m/>
    <m/>
    <m/>
    <m/>
    <m/>
    <m/>
    <m/>
    <m/>
    <m/>
    <m/>
    <m/>
    <m/>
    <s v="https://pbs.twimg.com/profile_images/1733025846527729664/gp53xZCk_normal.jpg"/>
    <s v="1750324419812339959"/>
    <s v="1750230171473305708"/>
    <s v="119775366"/>
    <s v="1750323487674438087"/>
    <s v=""/>
    <s v=""/>
    <s v="1750323487674438087"/>
    <n v="22869375"/>
    <m/>
    <m/>
    <m/>
    <m/>
    <m/>
    <n v="1"/>
    <s v="13"/>
    <s v="13"/>
    <m/>
    <m/>
    <m/>
    <m/>
    <m/>
    <m/>
    <m/>
    <m/>
    <m/>
  </r>
  <r>
    <s v="beelofosho"/>
    <s v="rayterrill"/>
    <m/>
    <m/>
    <m/>
    <m/>
    <m/>
    <m/>
    <m/>
    <m/>
    <s v="No"/>
    <n v="147"/>
    <m/>
    <m/>
    <x v="2"/>
    <d v="2023-09-05T00:44:57.000"/>
    <s v="@Rayterrill Not sure of my source’s credibility in this, but word is there’s something in the works for tracking mileage and charging based on mileage. Not sure if that’s ala cameras similar to the toll system outside of Seattle, annual reported mileage, or mileage at registration renewal"/>
    <n v="0"/>
    <n v="0"/>
    <n v="1"/>
    <n v="0"/>
    <n v="42"/>
    <x v="1"/>
    <m/>
    <m/>
    <s v="rayterrill"/>
    <m/>
    <m/>
    <s v="Twitter for iPad"/>
    <s v="en"/>
    <s v="https://twitter.com/beelofosho/status/1698859727701291245"/>
    <x v="108"/>
    <d v="2023-09-05T00:00:00.000"/>
    <s v="00:44:57"/>
    <m/>
    <s v="-123.05417,44.9729026 _x000a_-123.05417,45.038125 _x000a_-122.99073,45.038125 _x000a_-122.99073,44.9729026 _x000a_-123.05417,44.9729026"/>
    <s v="United States"/>
    <s v="US"/>
    <s v="Keizer, OR"/>
    <s v="fd5dc77c129022ee"/>
    <s v="Keizer"/>
    <s v="city"/>
    <m/>
    <m/>
    <m/>
    <m/>
    <m/>
    <s v="https://pbs.twimg.com/profile_images/1730702967630901248/lNf0-VjA_normal.jpg"/>
    <s v="1698859727701291245"/>
    <s v="1698852047674864031"/>
    <s v="73195756"/>
    <s v="1698858126244732987"/>
    <s v=""/>
    <s v=""/>
    <s v="1698858126244732987"/>
    <n v="541855177"/>
    <m/>
    <m/>
    <m/>
    <m/>
    <m/>
    <n v="1"/>
    <s v="34"/>
    <s v="34"/>
    <n v="1"/>
    <n v="2"/>
    <n v="1"/>
    <n v="2"/>
    <n v="0"/>
    <n v="0"/>
    <n v="24"/>
    <n v="48"/>
    <n v="50"/>
  </r>
  <r>
    <s v="j_mcdonald81"/>
    <s v="lukeroth1015"/>
    <m/>
    <m/>
    <m/>
    <m/>
    <m/>
    <m/>
    <m/>
    <m/>
    <s v="No"/>
    <n v="148"/>
    <m/>
    <m/>
    <x v="2"/>
    <d v="2023-10-07T18:51:56.000"/>
    <s v="@lukeroth1015 Going to Berkeley isn't the issue (we went through the East Bay in August going to San Jose).  It's leaving the Bay is where they'll get you.  I think the only toll you'll pay is going into San Francisco from the Bay Bridge/Oakland side of the Bay and from Napa over Golden Gate."/>
    <n v="0"/>
    <n v="1"/>
    <n v="2"/>
    <n v="0"/>
    <n v="147"/>
    <x v="1"/>
    <m/>
    <m/>
    <s v="lukeroth1015"/>
    <m/>
    <m/>
    <s v="Twitter for Android"/>
    <s v="en"/>
    <s v="https://twitter.com/j_mcdonald81/status/1710729688250044693"/>
    <x v="109"/>
    <d v="2023-10-07T00:00:00.000"/>
    <s v="18:51:56"/>
    <m/>
    <s v="-123.05417,44.9729026 _x000a_-123.05417,45.038125 _x000a_-122.99073,45.038125 _x000a_-122.99073,44.9729026 _x000a_-123.05417,44.9729026"/>
    <s v="United States"/>
    <s v="US"/>
    <s v="Keizer, OR"/>
    <s v="fd5dc77c129022ee"/>
    <s v="Keizer"/>
    <s v="city"/>
    <m/>
    <m/>
    <m/>
    <m/>
    <m/>
    <s v="https://pbs.twimg.com/profile_images/1078371610896195584/pKIUmOgq_normal.jpg"/>
    <s v="1710729688250044693"/>
    <s v="1710716009894867430"/>
    <s v="3766159813"/>
    <s v="1710728555733352888"/>
    <s v=""/>
    <s v=""/>
    <s v="1710728555733352888"/>
    <n v="352146432"/>
    <m/>
    <m/>
    <m/>
    <m/>
    <m/>
    <n v="2"/>
    <s v="33"/>
    <s v="33"/>
    <n v="1"/>
    <n v="1.8181818181818181"/>
    <n v="2"/>
    <n v="3.6363636363636362"/>
    <n v="0"/>
    <n v="0"/>
    <n v="25"/>
    <n v="45.45454545454545"/>
    <n v="55"/>
  </r>
  <r>
    <s v="j_mcdonald81"/>
    <s v="lukeroth1015"/>
    <m/>
    <m/>
    <m/>
    <m/>
    <m/>
    <m/>
    <m/>
    <m/>
    <s v="No"/>
    <n v="149"/>
    <m/>
    <m/>
    <x v="2"/>
    <d v="2023-10-07T18:22:23.000"/>
    <s v="@lukeroth1015 Make sure you got cash for Tolls dude.  They're everywhere down there.  Especially leaving the East Bay with the Benicia Toll Bridge."/>
    <n v="0"/>
    <n v="1"/>
    <n v="1"/>
    <n v="0"/>
    <n v="414"/>
    <x v="1"/>
    <m/>
    <m/>
    <s v="lukeroth1015"/>
    <m/>
    <m/>
    <s v="Twitter for Android"/>
    <s v="en"/>
    <s v="https://twitter.com/j_mcdonald81/status/1710722251216298486"/>
    <x v="110"/>
    <d v="2023-10-07T00:00:00.000"/>
    <s v="18:22:23"/>
    <m/>
    <s v="-123.05417,44.9729026 _x000a_-123.05417,45.038125 _x000a_-122.99073,45.038125 _x000a_-122.99073,44.9729026 _x000a_-123.05417,44.9729026"/>
    <s v="United States"/>
    <s v="US"/>
    <s v="Keizer, OR"/>
    <s v="fd5dc77c129022ee"/>
    <s v="Keizer"/>
    <s v="city"/>
    <m/>
    <m/>
    <m/>
    <m/>
    <m/>
    <s v="https://pbs.twimg.com/profile_images/1078371610896195584/pKIUmOgq_normal.jpg"/>
    <s v="1710722251216298486"/>
    <s v="1710716009894867430"/>
    <s v="3766159813"/>
    <s v="1710716009894867430"/>
    <s v=""/>
    <s v=""/>
    <s v="1710716009894867430"/>
    <n v="352146432"/>
    <m/>
    <m/>
    <m/>
    <m/>
    <m/>
    <n v="2"/>
    <s v="33"/>
    <s v="33"/>
    <n v="0"/>
    <n v="0"/>
    <n v="1"/>
    <n v="4.3478260869565215"/>
    <n v="0"/>
    <n v="0"/>
    <n v="14"/>
    <n v="60.869565217391305"/>
    <n v="23"/>
  </r>
  <r>
    <s v="pdxblake"/>
    <s v="oregondot"/>
    <m/>
    <m/>
    <m/>
    <m/>
    <m/>
    <m/>
    <m/>
    <m/>
    <s v="No"/>
    <n v="150"/>
    <m/>
    <m/>
    <x v="0"/>
    <d v="2023-01-21T21:25:29.000"/>
    <s v=".@OregonDOT is running a push poll to create the illusion of support for spending toll money to widen highways. They never ask whether an alternative of tolls only for walk, bike, transit and the safety of people using non-car modes from drivers. #NoMoreFreeways @nomorefreeways"/>
    <n v="1"/>
    <n v="4"/>
    <n v="1"/>
    <n v="0"/>
    <n v="334"/>
    <x v="15"/>
    <m/>
    <m/>
    <s v="oregondot nomorefreeways"/>
    <m/>
    <m/>
    <s v="Twitter for Android"/>
    <s v="en"/>
    <s v="https://twitter.com/pdxblake/status/1616909875031965696"/>
    <x v="111"/>
    <d v="2023-01-21T00:00:00.000"/>
    <s v="21:25:29"/>
    <m/>
    <s v="-122.7900653,45.421863 _x000a_-122.7900653,45.6509405 _x000a_-122.471751,45.6509405 _x000a_-122.471751,45.421863 _x000a_-122.7900653,45.421863"/>
    <s v="United States"/>
    <s v="US"/>
    <s v="Portland, OR"/>
    <s v="ac88a4f17a51c7fc"/>
    <s v="Portland"/>
    <s v="city"/>
    <m/>
    <m/>
    <m/>
    <m/>
    <m/>
    <s v="https://pbs.twimg.com/profile_images/1681120494962225152/2iGrngKt_normal.jpg"/>
    <s v="1616909875031965696"/>
    <s v="1616909875031965696"/>
    <m/>
    <s v=""/>
    <s v=""/>
    <s v=""/>
    <s v="1616909875031965696"/>
    <n v="87288368"/>
    <m/>
    <m/>
    <m/>
    <m/>
    <m/>
    <n v="1"/>
    <s v="2"/>
    <s v="2"/>
    <m/>
    <m/>
    <m/>
    <m/>
    <m/>
    <m/>
    <m/>
    <m/>
    <m/>
  </r>
  <r>
    <s v="pdxblake"/>
    <s v="nomorefreeways"/>
    <m/>
    <m/>
    <m/>
    <m/>
    <m/>
    <m/>
    <m/>
    <m/>
    <s v="No"/>
    <n v="152"/>
    <m/>
    <m/>
    <x v="2"/>
    <d v="2023-04-15T01:08:59.000"/>
    <s v="@nomorefreeways I wonder how the projections of VMT and toll-paying drivers would hold up under this type of scrutiny if the bonds being issued for the IBRP are related to future tolling revenue. https://t.co/dfQLfo5uud https://t.co/tE7sEJvSjo"/>
    <n v="0"/>
    <n v="2"/>
    <n v="1"/>
    <n v="1"/>
    <n v="121"/>
    <x v="1"/>
    <s v="https://www.sec.gov/news/press-release/2022-97"/>
    <s v="sec.gov"/>
    <s v="nomorefreeways"/>
    <s v="https://t.co/tE7sEJvSjo https://pbs.twimg.com/media/Ftt6EnlaYAEMUzq.jpg"/>
    <s v="photo"/>
    <s v="Twitter for Android"/>
    <s v="en"/>
    <s v="https://twitter.com/pdxblake/status/1647044311543083008"/>
    <x v="112"/>
    <d v="2023-04-15T00:00:00.000"/>
    <s v="01:08:59"/>
    <b v="0"/>
    <s v="-122.7900653,45.421863 _x000a_-122.7900653,45.6509405 _x000a_-122.471751,45.6509405 _x000a_-122.471751,45.421863 _x000a_-122.7900653,45.421863"/>
    <s v="United States"/>
    <s v="US"/>
    <s v="Portland, OR"/>
    <s v="ac88a4f17a51c7fc"/>
    <s v="Portland"/>
    <s v="city"/>
    <s v="3_1647044308498014209"/>
    <m/>
    <m/>
    <m/>
    <m/>
    <s v="https://pbs.twimg.com/media/Ftt6EnlaYAEMUzq.jpg"/>
    <s v="1647044311543083008"/>
    <s v="1647042686065721344"/>
    <s v="902331528167829504"/>
    <s v="1647042686065721344"/>
    <s v=""/>
    <s v=""/>
    <s v="1647042686065721344"/>
    <n v="87288368"/>
    <m/>
    <m/>
    <m/>
    <m/>
    <m/>
    <n v="1"/>
    <s v="2"/>
    <s v="2"/>
    <n v="1"/>
    <n v="2.9411764705882355"/>
    <n v="1"/>
    <n v="2.9411764705882355"/>
    <n v="0"/>
    <n v="0"/>
    <n v="17"/>
    <n v="50"/>
    <n v="34"/>
  </r>
  <r>
    <s v="mysportsupdate"/>
    <s v="miamidolphins"/>
    <m/>
    <m/>
    <m/>
    <m/>
    <m/>
    <m/>
    <m/>
    <m/>
    <s v="No"/>
    <n v="153"/>
    <m/>
    <m/>
    <x v="0"/>
    <d v="2023-10-15T23:45:19.000"/>
    <s v="After answering just one question, #Dolphins QB Tua paused his postgame press conference to discuss the difficult situation in Israel and bring attention to all the terrorist attacks by Hamas. _x000a__x000a_&quot;I didn't really realize how bad things were in Israel...&quot;_x000a__x000a_(via @MiamiDolphins) https://t.co/M13rad8Xzu"/>
    <n v="889"/>
    <n v="10238"/>
    <n v="610"/>
    <n v="484"/>
    <n v="4629363"/>
    <x v="16"/>
    <m/>
    <m/>
    <s v="miamidolphins"/>
    <s v="https://t.co/M13rad8Xzu https://pbs.twimg.com/ext_tw_video_thumb/1713681394151415808/pu/img/AEt4hHIwlUhA_DMV.jpg"/>
    <s v="video"/>
    <s v="TweetDeck Web App"/>
    <s v="en"/>
    <s v="https://twitter.com/mysportsupdate/status/1713702623033917749"/>
    <x v="113"/>
    <d v="2023-10-15T00:00:00.000"/>
    <s v="23:45:19"/>
    <b v="0"/>
    <m/>
    <m/>
    <m/>
    <m/>
    <m/>
    <m/>
    <m/>
    <s v="7_1713681394151415808"/>
    <n v="87687"/>
    <m/>
    <m/>
    <m/>
    <s v="https://pbs.twimg.com/ext_tw_video_thumb/1713681394151415808/pu/img/AEt4hHIwlUhA_DMV.jpg"/>
    <s v="1713702623033917749"/>
    <s v="1713702623033917749"/>
    <m/>
    <s v=""/>
    <s v=""/>
    <s v=""/>
    <s v="1713702623033917749"/>
    <n v="1312367672"/>
    <m/>
    <m/>
    <m/>
    <m/>
    <m/>
    <n v="1"/>
    <s v="12"/>
    <s v="12"/>
    <n v="0"/>
    <n v="0"/>
    <n v="3"/>
    <n v="7.142857142857143"/>
    <n v="0"/>
    <n v="0"/>
    <n v="22"/>
    <n v="52.38095238095238"/>
    <n v="42"/>
  </r>
  <r>
    <s v="quintonmurdock"/>
    <s v="sabo_cat161"/>
    <m/>
    <m/>
    <m/>
    <m/>
    <m/>
    <m/>
    <m/>
    <m/>
    <s v="No"/>
    <n v="154"/>
    <m/>
    <m/>
    <x v="2"/>
    <d v="2023-05-26T00:04:17.000"/>
    <s v="@Sabo_Cat161 I was mad. Now I’m just worried for the mental toll on well-being Florida is for people https://t.co/cf8MJ9qmWg"/>
    <n v="0"/>
    <n v="3"/>
    <n v="0"/>
    <n v="0"/>
    <n v="66"/>
    <x v="1"/>
    <m/>
    <m/>
    <s v="sabo_cat161"/>
    <s v="https://t.co/cf8MJ9qmWg https://pbs.twimg.com/media/FxA0co1aIAEqzZr.jpg"/>
    <s v="photo"/>
    <s v="Twitter for iPhone"/>
    <s v="en"/>
    <s v="https://twitter.com/quintonmurdock/status/1661885931794874368"/>
    <x v="114"/>
    <d v="2023-05-26T00:00:00.000"/>
    <s v="00:04:17"/>
    <b v="0"/>
    <s v="-122.7900653,45.421863 _x000a_-122.7900653,45.6509405 _x000a_-122.471751,45.6509405 _x000a_-122.471751,45.421863 _x000a_-122.7900653,45.421863"/>
    <s v="United States"/>
    <s v="US"/>
    <s v="Portland, OR"/>
    <s v="ac88a4f17a51c7fc"/>
    <s v="Portland"/>
    <s v="city"/>
    <s v="3_1661885929102123009"/>
    <m/>
    <m/>
    <m/>
    <m/>
    <s v="https://pbs.twimg.com/media/FxA0co1aIAEqzZr.jpg"/>
    <s v="1661885931794874368"/>
    <s v="1661855441188519937"/>
    <s v="1645181116490317827"/>
    <s v="1661855441188519937"/>
    <s v=""/>
    <s v=""/>
    <s v="1661855441188519937"/>
    <s v="1404159608839573504"/>
    <m/>
    <m/>
    <m/>
    <m/>
    <m/>
    <n v="1"/>
    <s v="32"/>
    <s v="32"/>
    <n v="1"/>
    <n v="5"/>
    <n v="3"/>
    <n v="15"/>
    <n v="0"/>
    <n v="0"/>
    <n v="5"/>
    <n v="25"/>
    <n v="20"/>
  </r>
  <r>
    <s v="hardlee73"/>
    <s v="oregonsos"/>
    <m/>
    <m/>
    <m/>
    <m/>
    <m/>
    <m/>
    <m/>
    <m/>
    <s v="No"/>
    <n v="155"/>
    <m/>
    <m/>
    <x v="1"/>
    <d v="2023-02-06T14:47:37.000"/>
    <s v="@NicelyNice4 @SenJeffMerkley @JeffMerkley @OregonSOS He copies and pastes these annoying tweets._x000a__x000a_No regard for opposition._x000a__x000a_DUII @JeffMerkley way or the highway with toll booths on every offramp."/>
    <n v="0"/>
    <n v="0"/>
    <n v="0"/>
    <n v="0"/>
    <n v="5"/>
    <x v="1"/>
    <m/>
    <m/>
    <s v="nicelynice4 senjeffmerkley jeffmerkley oregonsos jeffmerkley"/>
    <m/>
    <m/>
    <s v="Twitter for Android"/>
    <s v="en"/>
    <s v="https://twitter.com/hardlee73/status/1622607952782954497"/>
    <x v="115"/>
    <d v="2023-02-06T00:00:00.000"/>
    <s v="14:47:37"/>
    <m/>
    <s v="-122.7900653,45.421863 _x000a_-122.7900653,45.6509405 _x000a_-122.471751,45.6509405 _x000a_-122.471751,45.421863 _x000a_-122.7900653,45.421863"/>
    <s v="United States"/>
    <s v="US"/>
    <s v="Portland, OR"/>
    <s v="ac88a4f17a51c7fc"/>
    <s v="Portland"/>
    <s v="city"/>
    <m/>
    <m/>
    <m/>
    <m/>
    <m/>
    <s v="https://pbs.twimg.com/profile_images/1659705770706083841/rThMHHyx_normal.jpg"/>
    <s v="1622607952782954497"/>
    <s v="1622369796149989378"/>
    <s v="1475977448613285890"/>
    <s v="1622416895013158915"/>
    <s v=""/>
    <s v=""/>
    <s v="1622416895013158915"/>
    <s v="795424702747418624"/>
    <m/>
    <m/>
    <m/>
    <m/>
    <m/>
    <n v="1"/>
    <s v="3"/>
    <s v="3"/>
    <m/>
    <m/>
    <m/>
    <m/>
    <m/>
    <m/>
    <m/>
    <m/>
    <m/>
  </r>
  <r>
    <s v="hardlee73"/>
    <s v="repblumenauer"/>
    <m/>
    <m/>
    <m/>
    <m/>
    <m/>
    <m/>
    <m/>
    <m/>
    <s v="No"/>
    <n v="159"/>
    <m/>
    <m/>
    <x v="1"/>
    <d v="2023-11-14T10:47:31.000"/>
    <s v="@RepBonamici Is the largely unknown outside of OR3 representative Earl @repblumenauer about to add a toll to his bridge to fund his lavish millionaire lifestyle in his retirement? https://t.co/aT1uEJwAVg"/>
    <n v="0"/>
    <n v="2"/>
    <n v="0"/>
    <n v="0"/>
    <n v="43"/>
    <x v="1"/>
    <m/>
    <m/>
    <s v="repbonamici repblumenauer"/>
    <s v="https://t.co/aT1uEJwAVg https://pbs.twimg.com/media/F-45IQdagAAFhSA.jpg"/>
    <s v="photo"/>
    <s v="Twitter for Android"/>
    <s v="en"/>
    <s v="https://twitter.com/hardlee73/status/1724378522633068940"/>
    <x v="116"/>
    <d v="2023-11-14T00:00:00.000"/>
    <s v="10:47:31"/>
    <b v="0"/>
    <s v="-122.7900653,45.421863 _x000a_-122.7900653,45.6509405 _x000a_-122.471751,45.6509405 _x000a_-122.471751,45.421863 _x000a_-122.7900653,45.421863"/>
    <s v="United States"/>
    <s v="US"/>
    <s v="Portland, OR"/>
    <s v="ac88a4f17a51c7fc"/>
    <s v="Portland"/>
    <s v="city"/>
    <s v="3_1724378521349554176"/>
    <m/>
    <m/>
    <m/>
    <m/>
    <s v="https://pbs.twimg.com/media/F-45IQdagAAFhSA.jpg"/>
    <s v="1724378522633068940"/>
    <s v="1724223808507179440"/>
    <s v="558769636"/>
    <s v="1724223808507179440"/>
    <s v=""/>
    <s v=""/>
    <s v="1724223808507179440"/>
    <s v="795424702747418624"/>
    <m/>
    <m/>
    <m/>
    <m/>
    <m/>
    <n v="1"/>
    <s v="3"/>
    <s v="3"/>
    <m/>
    <m/>
    <m/>
    <m/>
    <m/>
    <m/>
    <m/>
    <m/>
    <m/>
  </r>
  <r>
    <s v="hardlee73"/>
    <s v="tuckercarlson"/>
    <m/>
    <m/>
    <m/>
    <m/>
    <m/>
    <m/>
    <m/>
    <m/>
    <s v="No"/>
    <n v="161"/>
    <m/>
    <m/>
    <x v="1"/>
    <d v="2023-03-11T03:12:44.000"/>
    <s v="@janninereid1 @seanhannity needs to chase the grey away._x000a__x000a_Sheesh... playing second fiddle to @TuckerCarlson has taken a toll. https://t.co/3nhjxOXB3t"/>
    <n v="0"/>
    <n v="0"/>
    <n v="0"/>
    <n v="0"/>
    <n v="26"/>
    <x v="1"/>
    <m/>
    <m/>
    <s v="janninereid1 seanhannity tuckercarlson"/>
    <s v="https://t.co/3nhjxOXB3t https://t.co/3nhjxOXB3t https://pbs.twimg.com/tweet_video_thumb/Fq6GvJhakAAm4r2.jpg https://pbs.twimg.com/tweet_video_thumb/Fq6Gvl6aMAAM85S.jpg"/>
    <s v="animated_gif animated_gif"/>
    <s v="Twitter for Android"/>
    <s v="en"/>
    <s v="https://twitter.com/hardlee73/status/1634391878882963457"/>
    <x v="117"/>
    <d v="2023-03-11T00:00:00.000"/>
    <s v="03:12:44"/>
    <b v="0"/>
    <s v="-122.7900653,45.421863 _x000a_-122.7900653,45.6509405 _x000a_-122.471751,45.6509405 _x000a_-122.471751,45.421863 _x000a_-122.7900653,45.421863"/>
    <s v="United States"/>
    <s v="US"/>
    <s v="Portland, OR"/>
    <s v="ac88a4f17a51c7fc"/>
    <s v="Portland"/>
    <s v="city"/>
    <s v="16_1634391859350114304 16_1634391866971140096"/>
    <m/>
    <m/>
    <m/>
    <m/>
    <s v="https://pbs.twimg.com/tweet_video_thumb/Fq6GvJhakAAm4r2.jpg"/>
    <s v="1634391878882963457"/>
    <s v="1634383120484171776"/>
    <s v="895112509086089216"/>
    <s v="1634383120484171776"/>
    <s v=""/>
    <s v=""/>
    <s v="1634383120484171776"/>
    <s v="795424702747418624"/>
    <m/>
    <m/>
    <m/>
    <m/>
    <m/>
    <n v="1"/>
    <s v="3"/>
    <s v="3"/>
    <m/>
    <m/>
    <m/>
    <m/>
    <m/>
    <m/>
    <m/>
    <m/>
    <m/>
  </r>
  <r>
    <s v="hardlee73"/>
    <s v="mgpforcongress"/>
    <m/>
    <m/>
    <m/>
    <m/>
    <m/>
    <m/>
    <m/>
    <m/>
    <s v="No"/>
    <n v="164"/>
    <m/>
    <m/>
    <x v="2"/>
    <d v="2023-12-17T01:30:03.000"/>
    <s v="@MGPforCongress Will the old Vancouver toll bridge tokens from the 60s still be valid and, if not, why? https://t.co/LCE67HgscJ"/>
    <n v="0"/>
    <n v="1"/>
    <n v="0"/>
    <n v="0"/>
    <n v="148"/>
    <x v="1"/>
    <m/>
    <m/>
    <s v="mgpforcongress"/>
    <s v="https://t.co/LCE67HgscJ https://t.co/LCE67HgscJ https://pbs.twimg.com/media/GBg1_yVboAAcHVZ.jpg https://pbs.twimg.com/media/GBg1_8ca0AAsUB6.jpg"/>
    <s v="photo photo"/>
    <s v="Twitter for Android"/>
    <s v="en"/>
    <s v="https://twitter.com/hardlee73/status/1736197030660448260"/>
    <x v="118"/>
    <d v="2023-12-17T00:00:00.000"/>
    <s v="01:30:03"/>
    <b v="0"/>
    <s v="-122.7900653,45.421863 _x000a_-122.7900653,45.6509405 _x000a_-122.471751,45.6509405 _x000a_-122.471751,45.421863 _x000a_-122.7900653,45.421863"/>
    <s v="United States"/>
    <s v="US"/>
    <s v="Portland, OR"/>
    <s v="ac88a4f17a51c7fc"/>
    <s v="Portland"/>
    <s v="city"/>
    <s v="3_1736197026311020544 3_1736197029024681984"/>
    <m/>
    <m/>
    <m/>
    <m/>
    <s v="https://pbs.twimg.com/media/GBg1_yVboAAcHVZ.jpg"/>
    <s v="1736197030660448260"/>
    <s v="1736179376989835353"/>
    <s v="1493294940708696069"/>
    <s v="1736179376989835353"/>
    <s v=""/>
    <s v=""/>
    <s v="1736179376989835353"/>
    <s v="795424702747418624"/>
    <m/>
    <m/>
    <m/>
    <m/>
    <m/>
    <n v="1"/>
    <s v="3"/>
    <s v="3"/>
    <n v="0"/>
    <n v="0"/>
    <n v="1"/>
    <n v="5.555555555555555"/>
    <n v="0"/>
    <n v="0"/>
    <n v="8"/>
    <n v="44.44444444444444"/>
    <n v="18"/>
  </r>
  <r>
    <s v="joannanobanana"/>
    <s v="joannanobanana"/>
    <m/>
    <m/>
    <m/>
    <m/>
    <m/>
    <m/>
    <m/>
    <m/>
    <s v="No"/>
    <n v="165"/>
    <m/>
    <m/>
    <x v="3"/>
    <d v="2023-10-29T19:44:50.000"/>
    <s v="Hi disabled and/or chronically ill friends,_x000a__x000a_Do you or anyone you know struggle with mold inside their home?"/>
    <n v="12"/>
    <n v="109"/>
    <n v="34"/>
    <n v="5"/>
    <n v="8943"/>
    <x v="1"/>
    <m/>
    <m/>
    <m/>
    <m/>
    <m/>
    <s v="Twitter Web App"/>
    <s v="en"/>
    <s v="https://twitter.com/joannanobanana/status/1718715534114517365"/>
    <x v="119"/>
    <d v="2023-10-29T00:00:00.000"/>
    <s v="19:44:50"/>
    <m/>
    <m/>
    <m/>
    <m/>
    <m/>
    <m/>
    <m/>
    <m/>
    <m/>
    <m/>
    <m/>
    <m/>
    <m/>
    <s v="https://pbs.twimg.com/profile_images/1453942310173962254/JAQtfpiq_normal.jpg"/>
    <s v="1718715534114517365"/>
    <s v="1718715534114517365"/>
    <m/>
    <s v=""/>
    <s v=""/>
    <s v=""/>
    <s v="1718715534114517365"/>
    <s v="1113482654354235392"/>
    <m/>
    <m/>
    <m/>
    <m/>
    <m/>
    <n v="1"/>
    <s v="37"/>
    <s v="37"/>
    <n v="0"/>
    <n v="0"/>
    <n v="2"/>
    <n v="10.526315789473685"/>
    <n v="0"/>
    <n v="0"/>
    <n v="9"/>
    <n v="47.36842105263158"/>
    <n v="19"/>
  </r>
  <r>
    <s v="henspangled2020"/>
    <s v="pdxreal1"/>
    <m/>
    <m/>
    <m/>
    <m/>
    <m/>
    <m/>
    <m/>
    <m/>
    <s v="No"/>
    <n v="166"/>
    <m/>
    <m/>
    <x v="2"/>
    <d v="2024-01-25T11:31:58.000"/>
    <s v="@PDXReal1 They don’t want to fix the issue.  If they wanted to fix it they’d work together to build the bridge.  But nope, they want a TOLL it!"/>
    <n v="0"/>
    <n v="0"/>
    <n v="0"/>
    <n v="0"/>
    <n v="25"/>
    <x v="1"/>
    <m/>
    <m/>
    <s v="pdxreal1"/>
    <m/>
    <m/>
    <s v="Twitter for iPhone"/>
    <s v="en"/>
    <s v="https://twitter.com/henspangled2020/status/1750481635651514547"/>
    <x v="120"/>
    <d v="2024-01-25T00:00:00.000"/>
    <s v="11:31:58"/>
    <m/>
    <m/>
    <m/>
    <m/>
    <m/>
    <m/>
    <m/>
    <m/>
    <m/>
    <m/>
    <m/>
    <m/>
    <m/>
    <s v="https://pbs.twimg.com/profile_images/1751125657168527360/cqKh7Wfy_normal.jpg"/>
    <s v="1750481635651514547"/>
    <s v="1750262765825200474"/>
    <s v="1500706012386390017"/>
    <s v="1750262765825200474"/>
    <s v=""/>
    <s v=""/>
    <s v="1750262765825200474"/>
    <s v="1339462735352844288"/>
    <m/>
    <m/>
    <m/>
    <m/>
    <m/>
    <n v="1"/>
    <s v="11"/>
    <s v="11"/>
    <n v="1"/>
    <n v="3.3333333333333335"/>
    <n v="2"/>
    <n v="6.666666666666667"/>
    <n v="0"/>
    <n v="0"/>
    <n v="9"/>
    <n v="30"/>
    <n v="30"/>
  </r>
  <r>
    <s v="goodvibepolitik"/>
    <s v="goodvibepolitik"/>
    <m/>
    <m/>
    <m/>
    <m/>
    <m/>
    <m/>
    <m/>
    <m/>
    <s v="No"/>
    <n v="167"/>
    <m/>
    <m/>
    <x v="3"/>
    <d v="2023-02-10T22:16:32.000"/>
    <s v="TikTok reportedly taken on a creek that runs from East Palestine, Ohio. Notice that it’s full of dead fish. This combined with reports of chicken and livestock die off and reporters being arrested in the area is painting a startlingly more dire picture than is being reported. https://t.co/Z2a8QR2AxK"/>
    <n v="12346"/>
    <n v="40512"/>
    <n v="272"/>
    <n v="518"/>
    <n v="2734652"/>
    <x v="1"/>
    <m/>
    <m/>
    <m/>
    <s v="https://t.co/Z2a8QR2AxK https://pbs.twimg.com/ext_tw_video_thumb/1624170319727452188/pu/img/V749mrNUxlckNkI8.jpg"/>
    <s v="video"/>
    <s v="Twitter for iPhone"/>
    <s v="en"/>
    <s v="https://twitter.com/goodvibepolitik/status/1624170480482541588"/>
    <x v="121"/>
    <d v="2023-02-10T00:00:00.000"/>
    <s v="22:16:32"/>
    <b v="0"/>
    <m/>
    <m/>
    <m/>
    <m/>
    <m/>
    <m/>
    <m/>
    <s v="7_1624170319727452188"/>
    <n v="16757"/>
    <m/>
    <m/>
    <m/>
    <s v="https://pbs.twimg.com/ext_tw_video_thumb/1624170319727452188/pu/img/V749mrNUxlckNkI8.jpg"/>
    <s v="1624170480482541588"/>
    <s v="1624170480482541588"/>
    <m/>
    <s v=""/>
    <s v=""/>
    <s v=""/>
    <s v="1624170480482541588"/>
    <n v="3240330844"/>
    <m/>
    <m/>
    <m/>
    <m/>
    <m/>
    <n v="1"/>
    <s v="31"/>
    <s v="31"/>
    <n v="0"/>
    <n v="0"/>
    <n v="4"/>
    <n v="8.333333333333334"/>
    <n v="0"/>
    <n v="0"/>
    <n v="24"/>
    <n v="50"/>
    <n v="48"/>
  </r>
  <r>
    <s v="susan35763565"/>
    <s v="goodvibepolitik"/>
    <m/>
    <m/>
    <m/>
    <m/>
    <m/>
    <m/>
    <m/>
    <m/>
    <s v="No"/>
    <n v="168"/>
    <m/>
    <m/>
    <x v="4"/>
    <d v="2023-02-11T23:14:49.000"/>
    <s v="This is getting no media coverage. Possibly the worst chemical disaster in our history. The death toll has yet to be seen, but is certainly inevitable."/>
    <n v="0"/>
    <n v="0"/>
    <n v="0"/>
    <n v="0"/>
    <n v="22"/>
    <x v="1"/>
    <m/>
    <m/>
    <m/>
    <m/>
    <m/>
    <s v="Twitter for iPhone"/>
    <s v="en"/>
    <s v="https://twitter.com/susan35763565/status/1624547533694582784"/>
    <x v="122"/>
    <d v="2023-02-11T00:00:00.000"/>
    <s v="23:14:49"/>
    <m/>
    <s v="-122.8401675,45.393108 _x000a_-122.8401675,45.456634 _x000a_-122.74354,45.456634 _x000a_-122.74354,45.393108 _x000a_-122.8401675,45.393108"/>
    <s v="United States"/>
    <s v="US"/>
    <s v="Tigard, OR"/>
    <s v="d1f122645b638aec"/>
    <s v="Tigard"/>
    <s v="city"/>
    <m/>
    <m/>
    <m/>
    <m/>
    <m/>
    <s v="https://pbs.twimg.com/profile_images/1658947378169393152/HfXLBlTP_normal.jpg"/>
    <s v="1624547533694582784"/>
    <s v="1624547533694582784"/>
    <m/>
    <s v=""/>
    <s v="1624170480482541588"/>
    <s v=""/>
    <s v="1624170480482541588"/>
    <s v="1033162882471477248"/>
    <m/>
    <m/>
    <m/>
    <m/>
    <m/>
    <n v="1"/>
    <s v="31"/>
    <s v="31"/>
    <n v="0"/>
    <n v="0"/>
    <n v="5"/>
    <n v="19.23076923076923"/>
    <n v="0"/>
    <n v="0"/>
    <n v="8"/>
    <n v="30.76923076923077"/>
    <n v="26"/>
  </r>
  <r>
    <s v="lindas_here"/>
    <s v="a_tothe_z_amber"/>
    <m/>
    <m/>
    <m/>
    <m/>
    <m/>
    <m/>
    <m/>
    <m/>
    <s v="No"/>
    <n v="169"/>
    <m/>
    <m/>
    <x v="2"/>
    <d v="2024-01-28T06:20:44.000"/>
    <s v="@A_tothe_Z_Amber I understand that. I think we all are. 7 years fighting the orange clown and all his minions takes a toll. _x000a__x000a_He’s normalized cruelty, inhumanity, lying and bullying. We’re all so tired of it, yet we have to keep pushing the truth out there or else democracy will cease to exist."/>
    <n v="0"/>
    <n v="4"/>
    <n v="0"/>
    <n v="0"/>
    <n v="21"/>
    <x v="1"/>
    <m/>
    <m/>
    <s v="a_tothe_z_amber"/>
    <m/>
    <m/>
    <s v="Twitter for iPad"/>
    <s v="en"/>
    <s v="https://twitter.com/lindas_here/status/1751490470927368410"/>
    <x v="123"/>
    <d v="2024-01-28T00:00:00.000"/>
    <s v="06:20:44"/>
    <m/>
    <m/>
    <m/>
    <m/>
    <m/>
    <m/>
    <m/>
    <m/>
    <m/>
    <m/>
    <m/>
    <m/>
    <m/>
    <s v="https://pbs.twimg.com/profile_images/1746917310584303616/xswFVmds_normal.jpg"/>
    <s v="1751490470927368410"/>
    <s v="1751482425556058444"/>
    <s v="908203366408433664"/>
    <s v="1751487828129919228"/>
    <s v=""/>
    <s v=""/>
    <s v="1751487828129919228"/>
    <n v="174242226"/>
    <m/>
    <m/>
    <m/>
    <m/>
    <m/>
    <n v="1"/>
    <s v="30"/>
    <s v="30"/>
    <n v="0"/>
    <n v="0"/>
    <n v="6"/>
    <n v="11.11111111111111"/>
    <n v="0"/>
    <n v="0"/>
    <n v="17"/>
    <n v="31.48148148148148"/>
    <n v="54"/>
  </r>
  <r>
    <s v="therealfarley"/>
    <s v="ac7ionmann"/>
    <m/>
    <m/>
    <m/>
    <m/>
    <m/>
    <m/>
    <m/>
    <m/>
    <s v="No"/>
    <n v="170"/>
    <m/>
    <m/>
    <x v="2"/>
    <d v="2024-01-24T13:34:52.000"/>
    <s v="@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
    <n v="0"/>
    <n v="2"/>
    <n v="1"/>
    <n v="0"/>
    <n v="69"/>
    <x v="1"/>
    <m/>
    <m/>
    <s v="ac7ionmann"/>
    <m/>
    <m/>
    <s v="Twitter Web App"/>
    <s v="en"/>
    <s v="https://twitter.com/therealfarley/status/1750150176587809254"/>
    <x v="124"/>
    <d v="2024-01-24T00:00:00.000"/>
    <s v="13:34:52"/>
    <m/>
    <m/>
    <m/>
    <m/>
    <m/>
    <m/>
    <m/>
    <m/>
    <m/>
    <m/>
    <m/>
    <m/>
    <m/>
    <s v="https://pbs.twimg.com/profile_images/1706596490054152192/jHFB9TjD_normal.jpg"/>
    <s v="1750150176587809254"/>
    <s v="1750044154892071397"/>
    <s v="1513192336926425100"/>
    <s v="1750044154892071397"/>
    <s v=""/>
    <s v=""/>
    <s v="1750044154892071397"/>
    <s v="1523246504374267904"/>
    <m/>
    <m/>
    <m/>
    <m/>
    <m/>
    <n v="1"/>
    <s v="29"/>
    <s v="29"/>
    <n v="2"/>
    <n v="3.5714285714285716"/>
    <n v="1"/>
    <n v="1.7857142857142858"/>
    <n v="0"/>
    <n v="0"/>
    <n v="23"/>
    <n v="41.07142857142857"/>
    <n v="56"/>
  </r>
  <r>
    <s v="pdxbizjournal"/>
    <s v="pdxbizjournal"/>
    <m/>
    <m/>
    <m/>
    <m/>
    <m/>
    <m/>
    <m/>
    <m/>
    <s v="No"/>
    <n v="171"/>
    <m/>
    <m/>
    <x v="3"/>
    <d v="2024-01-27T20:00:27.000"/>
    <s v="Alcohol's high toll and Oregon's relatively modest beer and wine taxes are a perennial issue in the state, but a couple of developments of ratcheted up the debate. https://t.co/3ZQ4cqrRTM"/>
    <n v="0"/>
    <n v="1"/>
    <n v="0"/>
    <n v="0"/>
    <n v="515"/>
    <x v="1"/>
    <s v="https://www.bizjournals.com/portland/news/2024/01/26/oregon-wine-beer-taxes-econorthwest-report.html?csrc=6398&amp;taid=65b560d14d231b00014de742&amp;utm_campaign=trueAnthemTrendingContent&amp;utm_medium=trueAnthem&amp;utm_source=twitter"/>
    <s v="bizjournals.com"/>
    <m/>
    <m/>
    <m/>
    <s v="trueanthem_pro2"/>
    <s v="en"/>
    <s v="https://twitter.com/pdxbizjournal/status/1751334373213777966"/>
    <x v="125"/>
    <d v="2024-01-27T00:00:00.000"/>
    <s v="20:00:27"/>
    <b v="0"/>
    <m/>
    <m/>
    <m/>
    <m/>
    <m/>
    <m/>
    <m/>
    <m/>
    <m/>
    <m/>
    <m/>
    <m/>
    <s v="https://pbs.twimg.com/profile_images/378800000261184161/9987150c21b663287165ee5df38f0e0c_normal.png"/>
    <s v="1751334373213777966"/>
    <s v="1751334373213777966"/>
    <m/>
    <s v=""/>
    <s v=""/>
    <s v=""/>
    <s v="1751334373213777966"/>
    <n v="17135038"/>
    <m/>
    <m/>
    <m/>
    <m/>
    <m/>
    <n v="3"/>
    <s v="1"/>
    <s v="1"/>
    <n v="1"/>
    <n v="3.5714285714285716"/>
    <n v="2"/>
    <n v="7.142857142857143"/>
    <n v="0"/>
    <n v="0"/>
    <n v="13"/>
    <n v="46.42857142857143"/>
    <n v="28"/>
  </r>
  <r>
    <s v="pdxbizjournal"/>
    <s v="pdxbizjournal"/>
    <m/>
    <m/>
    <m/>
    <m/>
    <m/>
    <m/>
    <m/>
    <m/>
    <s v="No"/>
    <n v="172"/>
    <m/>
    <m/>
    <x v="3"/>
    <d v="2024-01-27T06:00:29.000"/>
    <s v="Alcohol's high toll and Oregon's relatively modest beer and wine taxes are a perennial issue in the state, but a couple of developments of ratcheted up the debate. https://t.co/LvuujjKT1c"/>
    <n v="0"/>
    <n v="0"/>
    <n v="4"/>
    <n v="0"/>
    <n v="672"/>
    <x v="1"/>
    <s v="https://www.bizjournals.com/portland/news/2024/01/26/oregon-wine-beer-taxes-econorthwest-report.html?csrc=6398&amp;taid=65b49bf74d231b00014dcf3c&amp;utm_campaign=trueAnthemTrendingContent&amp;utm_medium=trueAnthem&amp;utm_source=twitter"/>
    <s v="bizjournals.com"/>
    <m/>
    <m/>
    <m/>
    <s v="trueanthem_pro2"/>
    <s v="en"/>
    <s v="https://twitter.com/pdxbizjournal/status/1751122990299775023"/>
    <x v="126"/>
    <d v="2024-01-27T00:00:00.000"/>
    <s v="06:00:29"/>
    <b v="0"/>
    <m/>
    <m/>
    <m/>
    <m/>
    <m/>
    <m/>
    <m/>
    <m/>
    <m/>
    <m/>
    <m/>
    <m/>
    <s v="https://pbs.twimg.com/profile_images/378800000261184161/9987150c21b663287165ee5df38f0e0c_normal.png"/>
    <s v="1751122990299775023"/>
    <s v="1751122990299775023"/>
    <m/>
    <s v=""/>
    <s v=""/>
    <s v=""/>
    <s v="1751122990299775023"/>
    <n v="17135038"/>
    <m/>
    <m/>
    <m/>
    <m/>
    <m/>
    <n v="3"/>
    <s v="1"/>
    <s v="1"/>
    <n v="1"/>
    <n v="3.5714285714285716"/>
    <n v="2"/>
    <n v="7.142857142857143"/>
    <n v="0"/>
    <n v="0"/>
    <n v="13"/>
    <n v="46.42857142857143"/>
    <n v="28"/>
  </r>
  <r>
    <s v="pdxbizjournal"/>
    <s v="pdxbizjournal"/>
    <m/>
    <m/>
    <m/>
    <m/>
    <m/>
    <m/>
    <m/>
    <m/>
    <s v="No"/>
    <n v="173"/>
    <m/>
    <m/>
    <x v="3"/>
    <d v="2024-01-26T22:30:09.000"/>
    <s v="Alcohol's high toll and Oregon's relatively modest beer and wine taxes are a perennial issue in the state, but a couple of developments of ratcheted up the debate. https://t.co/9MgVc6Qtjy"/>
    <n v="0"/>
    <n v="0"/>
    <n v="0"/>
    <n v="0"/>
    <n v="475"/>
    <x v="1"/>
    <s v="https://www.bizjournals.com/portland/news/2024/01/26/oregon-wine-beer-taxes-econorthwest-report.html?csrc=6398&amp;taid=65b432701d333000011856f3&amp;utm_campaign=trueAnthemTrendingContent&amp;utm_medium=trueAnthem&amp;utm_source=twitter"/>
    <s v="bizjournals.com"/>
    <m/>
    <m/>
    <m/>
    <s v="trueanthem_pro2"/>
    <s v="en"/>
    <s v="https://twitter.com/pdxbizjournal/status/1751009658565779470"/>
    <x v="127"/>
    <d v="2024-01-26T00:00:00.000"/>
    <s v="22:30:09"/>
    <b v="0"/>
    <m/>
    <m/>
    <m/>
    <m/>
    <m/>
    <m/>
    <m/>
    <m/>
    <m/>
    <m/>
    <m/>
    <m/>
    <s v="https://pbs.twimg.com/profile_images/378800000261184161/9987150c21b663287165ee5df38f0e0c_normal.png"/>
    <s v="1751009658565779470"/>
    <s v="1751009658565779470"/>
    <m/>
    <s v=""/>
    <s v=""/>
    <s v=""/>
    <s v="1751009658565779470"/>
    <n v="17135038"/>
    <m/>
    <m/>
    <m/>
    <m/>
    <m/>
    <n v="3"/>
    <s v="1"/>
    <s v="1"/>
    <n v="1"/>
    <n v="3.5714285714285716"/>
    <n v="2"/>
    <n v="7.142857142857143"/>
    <n v="0"/>
    <n v="0"/>
    <n v="13"/>
    <n v="46.42857142857143"/>
    <n v="28"/>
  </r>
  <r>
    <s v="oregonian"/>
    <s v="oregonian"/>
    <m/>
    <m/>
    <m/>
    <m/>
    <m/>
    <m/>
    <m/>
    <m/>
    <s v="No"/>
    <n v="174"/>
    <m/>
    <m/>
    <x v="3"/>
    <d v="2024-01-22T04:05:03.000"/>
    <s v="Palestinian death toll in Gaza surpasses 25,000 while Israel announces death of another hostage https://t.co/KclJTpu0Ry"/>
    <n v="4"/>
    <n v="11"/>
    <n v="4"/>
    <n v="1"/>
    <n v="10227"/>
    <x v="1"/>
    <s v="https://www.oregonlive.com/nation/2024/01/palestinian-death-toll-in-gaza-surpasses-25000-while-israel-announces-death-of-another-hostage.html?utm_campaign=theoregonian_sf&amp;utm_medium=social&amp;utm_source=twitter"/>
    <s v="oregonlive.com"/>
    <m/>
    <m/>
    <m/>
    <s v="SocialNewsDesk"/>
    <s v="en"/>
    <s v="https://twitter.com/oregonian/status/1749281997749449163"/>
    <x v="128"/>
    <d v="2024-01-22T00:00:00.000"/>
    <s v="04:05:03"/>
    <b v="0"/>
    <m/>
    <m/>
    <m/>
    <m/>
    <m/>
    <m/>
    <m/>
    <m/>
    <m/>
    <m/>
    <m/>
    <m/>
    <s v="https://pbs.twimg.com/profile_images/902629136916557824/O7l_oqTE_normal.jpg"/>
    <s v="1749281997749449163"/>
    <s v="1749281997749449163"/>
    <m/>
    <s v=""/>
    <s v=""/>
    <s v=""/>
    <s v="1749281997749449163"/>
    <n v="2992751"/>
    <m/>
    <m/>
    <m/>
    <m/>
    <m/>
    <n v="1"/>
    <s v="1"/>
    <s v="1"/>
    <n v="0"/>
    <n v="0"/>
    <n v="4"/>
    <n v="26.666666666666668"/>
    <n v="0"/>
    <n v="0"/>
    <n v="8"/>
    <n v="53.333333333333336"/>
    <n v="15"/>
  </r>
  <r>
    <s v="pdxreal1"/>
    <s v="pdxreal1"/>
    <m/>
    <m/>
    <m/>
    <m/>
    <m/>
    <m/>
    <m/>
    <m/>
    <s v="No"/>
    <n v="175"/>
    <m/>
    <m/>
    <x v="3"/>
    <d v="2024-01-02T20:45:09.000"/>
    <s v="Oregon State Highway tolls are in the works, and we believe citizens should have a say in a statewide vote. We need your help collecting signatures to have that right. Visit https://t.co/NSanWeh3Nf and gather signatures including your own. https://t.co/khSd6iCQEV"/>
    <n v="69"/>
    <n v="154"/>
    <n v="19"/>
    <n v="2"/>
    <n v="5658"/>
    <x v="1"/>
    <s v="http://www.votebeforetolls.org"/>
    <s v="votebeforetolls.org"/>
    <m/>
    <s v="https://t.co/khSd6iCQEV https://pbs.twimg.com/amplify_video_thumb/1742285828414693376/img/_WJzrczufsSAQNHz.jpg"/>
    <s v="video"/>
    <s v="Twitter for iPhone"/>
    <s v="en"/>
    <s v="https://twitter.com/pdxreal1/status/1742285926200672484"/>
    <x v="129"/>
    <d v="2024-01-02T00:00:00.000"/>
    <s v="20:45:09"/>
    <b v="0"/>
    <m/>
    <m/>
    <m/>
    <m/>
    <m/>
    <m/>
    <m/>
    <s v="13_1742285828414693376"/>
    <n v="83733"/>
    <m/>
    <m/>
    <m/>
    <s v="https://pbs.twimg.com/amplify_video_thumb/1742285828414693376/img/_WJzrczufsSAQNHz.jpg"/>
    <s v="1742285926200672484"/>
    <s v="1742285926200672484"/>
    <m/>
    <s v=""/>
    <s v=""/>
    <s v=""/>
    <s v="1742285926200672484"/>
    <s v="1500706012386390017"/>
    <m/>
    <m/>
    <m/>
    <m/>
    <m/>
    <n v="1"/>
    <s v="11"/>
    <s v="11"/>
    <n v="2"/>
    <n v="5.405405405405405"/>
    <n v="0"/>
    <n v="0"/>
    <n v="0"/>
    <n v="0"/>
    <n v="16"/>
    <n v="43.24324324324324"/>
    <n v="37"/>
  </r>
  <r>
    <s v="zlorple"/>
    <s v="itsbedtime_"/>
    <m/>
    <m/>
    <m/>
    <m/>
    <m/>
    <m/>
    <m/>
    <m/>
    <s v="No"/>
    <n v="176"/>
    <m/>
    <m/>
    <x v="2"/>
    <d v="2024-01-23T04:36:41.000"/>
    <s v="@itsbedtime_ &quot;NYT resorts to use of second derivative to avoid reporting Gazan death toll&quot;"/>
    <n v="0"/>
    <n v="1"/>
    <n v="0"/>
    <n v="0"/>
    <n v="236"/>
    <x v="1"/>
    <m/>
    <m/>
    <s v="itsbedtime_"/>
    <m/>
    <m/>
    <s v="Twitter Web App"/>
    <s v="en"/>
    <s v="https://twitter.com/zlorple/status/1749652350330143150"/>
    <x v="130"/>
    <d v="2024-01-23T00:00:00.000"/>
    <s v="04:36:41"/>
    <m/>
    <m/>
    <m/>
    <m/>
    <m/>
    <m/>
    <m/>
    <m/>
    <m/>
    <m/>
    <m/>
    <m/>
    <m/>
    <s v="https://pbs.twimg.com/profile_images/1675571203438940160/xo83RUaY_normal.jpg"/>
    <s v="1749652350330143150"/>
    <s v="1749433094745067855"/>
    <s v="923730057276870656"/>
    <s v="1749433094745067855"/>
    <s v=""/>
    <s v=""/>
    <s v="1749433094745067855"/>
    <s v="1019790840451887104"/>
    <m/>
    <m/>
    <m/>
    <m/>
    <m/>
    <n v="1"/>
    <s v="28"/>
    <s v="28"/>
    <n v="0"/>
    <n v="0"/>
    <n v="2"/>
    <n v="14.285714285714286"/>
    <n v="0"/>
    <n v="0"/>
    <n v="9"/>
    <n v="64.28571428571429"/>
    <n v="14"/>
  </r>
  <r>
    <s v="spartytoon"/>
    <s v="tyleroakley"/>
    <m/>
    <m/>
    <m/>
    <m/>
    <m/>
    <m/>
    <m/>
    <m/>
    <s v="No"/>
    <n v="177"/>
    <m/>
    <m/>
    <x v="4"/>
    <d v="2024-01-29T14:05:03.000"/>
    <s v="Considering the death toll in that time, she's a cheap date."/>
    <n v="0"/>
    <n v="1"/>
    <n v="0"/>
    <n v="0"/>
    <n v="123"/>
    <x v="1"/>
    <m/>
    <m/>
    <m/>
    <m/>
    <m/>
    <s v="Twitter for Android"/>
    <s v="en"/>
    <s v="https://twitter.com/spartytoon/status/1751969709992640794"/>
    <x v="131"/>
    <d v="2024-01-29T00:00:00.000"/>
    <s v="14:05:03"/>
    <m/>
    <m/>
    <m/>
    <m/>
    <m/>
    <m/>
    <m/>
    <m/>
    <m/>
    <m/>
    <m/>
    <m/>
    <m/>
    <s v="https://pbs.twimg.com/profile_images/1518820208676249600/7O4r4Ika_normal.jpg"/>
    <s v="1751969709992640794"/>
    <s v="1751969709992640794"/>
    <m/>
    <s v=""/>
    <s v="1751654479412535401"/>
    <s v=""/>
    <s v="1751654479412535401"/>
    <n v="155701809"/>
    <m/>
    <m/>
    <m/>
    <m/>
    <m/>
    <n v="1"/>
    <s v="27"/>
    <s v="27"/>
    <n v="0"/>
    <n v="0"/>
    <n v="3"/>
    <n v="27.272727272727273"/>
    <n v="0"/>
    <n v="0"/>
    <n v="3"/>
    <n v="27.272727272727273"/>
    <n v="11"/>
  </r>
  <r>
    <s v="italiangirl104"/>
    <s v="hunnybadgermom"/>
    <m/>
    <m/>
    <m/>
    <m/>
    <m/>
    <m/>
    <m/>
    <m/>
    <s v="No"/>
    <n v="178"/>
    <m/>
    <m/>
    <x v="2"/>
    <d v="2023-08-13T22:27:23.000"/>
    <s v="@hunnybadgermom Andy’s trial took a toll on ALL of us in the courtroom 😞  Always praying for change in Portland and Justice against all odds. Disappointed again. Love you 🙏🏼❤️"/>
    <n v="0"/>
    <n v="6"/>
    <n v="1"/>
    <n v="0"/>
    <n v="168"/>
    <x v="1"/>
    <m/>
    <m/>
    <s v="hunnybadgermom"/>
    <m/>
    <m/>
    <s v="Twitter for iPhone"/>
    <s v="en"/>
    <s v="https://twitter.com/italiangirl104/status/1690852575535665152"/>
    <x v="132"/>
    <d v="2023-08-13T00:00:00.000"/>
    <s v="22:27:23"/>
    <m/>
    <s v="-122.498909,45.460886 _x000a_-122.498909,45.5593945 _x000a_-122.367482,45.5593945 _x000a_-122.367482,45.460886 _x000a_-122.498909,45.460886"/>
    <s v="United States"/>
    <s v="US"/>
    <s v="Gresham, OR"/>
    <s v="7bf7dcb9504c91c9"/>
    <s v="Gresham"/>
    <s v="city"/>
    <m/>
    <m/>
    <m/>
    <m/>
    <m/>
    <s v="https://pbs.twimg.com/profile_images/1713971327378538498/vleioOuB_normal.jpg"/>
    <s v="1690852575535665152"/>
    <s v="1690825233073373184"/>
    <s v="41400048"/>
    <s v="1690834143708581888"/>
    <s v=""/>
    <s v=""/>
    <s v="1690834143708581888"/>
    <s v="1455648384442789888"/>
    <m/>
    <m/>
    <m/>
    <m/>
    <m/>
    <n v="1"/>
    <s v="26"/>
    <s v="26"/>
    <n v="1"/>
    <n v="3.4482758620689653"/>
    <n v="2"/>
    <n v="6.896551724137931"/>
    <n v="0"/>
    <n v="0"/>
    <n v="13"/>
    <n v="44.827586206896555"/>
    <n v="29"/>
  </r>
  <r>
    <s v="kenwelcome0001"/>
    <s v="msolurin"/>
    <m/>
    <m/>
    <m/>
    <m/>
    <m/>
    <m/>
    <m/>
    <m/>
    <s v="No"/>
    <n v="179"/>
    <m/>
    <m/>
    <x v="2"/>
    <d v="2023-10-01T14:21:06.000"/>
    <s v="@msolurin 19 deaths last year plus 27 or whatever the number is this year really calls for a release to the public of Rikers death toll. This is a crisis that sounds like the attorney general should be investigating. Where's DOJ in all this?"/>
    <n v="0"/>
    <n v="0"/>
    <n v="0"/>
    <n v="0"/>
    <n v="160"/>
    <x v="1"/>
    <m/>
    <m/>
    <s v="msolurin"/>
    <m/>
    <m/>
    <s v="Twitter for iPhone"/>
    <s v="en"/>
    <s v="https://twitter.com/kenwelcome0001/status/1708487206741201174"/>
    <x v="133"/>
    <d v="2023-10-01T00:00:00.000"/>
    <s v="14:21:06"/>
    <m/>
    <s v="-122.7900653,45.421863 _x000a_-122.7900653,45.6509405 _x000a_-122.471751,45.6509405 _x000a_-122.471751,45.421863 _x000a_-122.7900653,45.421863"/>
    <s v="United States"/>
    <s v="US"/>
    <s v="Portland, OR"/>
    <s v="ac88a4f17a51c7fc"/>
    <s v="Portland"/>
    <s v="city"/>
    <m/>
    <m/>
    <m/>
    <m/>
    <m/>
    <s v="https://pbs.twimg.com/profile_images/1741148346184871936/MjV4muv3_normal.jpg"/>
    <s v="1708487206741201174"/>
    <s v="1708268788267856207"/>
    <s v="1046938994766958592"/>
    <s v="1708268788267856207"/>
    <s v=""/>
    <s v=""/>
    <s v="1708268788267856207"/>
    <n v="16542604"/>
    <m/>
    <m/>
    <m/>
    <m/>
    <m/>
    <n v="1"/>
    <s v="25"/>
    <s v="25"/>
    <n v="0"/>
    <n v="0"/>
    <n v="3"/>
    <n v="6.818181818181818"/>
    <n v="0"/>
    <n v="0"/>
    <n v="20"/>
    <n v="45.45454545454545"/>
    <n v="44"/>
  </r>
  <r>
    <s v="smilinandy"/>
    <s v="smilinandy"/>
    <m/>
    <m/>
    <m/>
    <m/>
    <m/>
    <m/>
    <m/>
    <m/>
    <s v="No"/>
    <n v="180"/>
    <m/>
    <m/>
    <x v="3"/>
    <d v="2023-02-10T01:27:34.000"/>
    <s v="💔_x000a__x000a_Toll from quakes passes 21,000; Turkey builds makeshift cemetery https://t.co/9qXXVUCRmm"/>
    <n v="0"/>
    <n v="0"/>
    <n v="0"/>
    <n v="0"/>
    <n v="24"/>
    <x v="1"/>
    <s v="https://www.washingtonpost.com/world/2023/02/09/turkey-syria-earthquake-death-count-updates/"/>
    <s v="washingtonpost.com"/>
    <m/>
    <m/>
    <m/>
    <s v="Twitter Web App"/>
    <s v="en"/>
    <s v="https://twitter.com/smilinandy/status/1623856164290318336"/>
    <x v="134"/>
    <d v="2023-02-10T00:00:00.000"/>
    <s v="01:27:34"/>
    <b v="0"/>
    <s v="-122.632833,45.393618 _x000a_-122.632833,45.433366 _x000a_-122.571286,45.433366 _x000a_-122.571286,45.393618 _x000a_-122.632833,45.393618"/>
    <s v="United States"/>
    <s v="US"/>
    <s v="Oatfield, OR"/>
    <s v="e9281136c487086d"/>
    <s v="Oatfield"/>
    <s v="city"/>
    <m/>
    <m/>
    <m/>
    <m/>
    <m/>
    <s v="https://pbs.twimg.com/profile_images/1743760727331180544/4kh4luMw_normal.jpg"/>
    <s v="1623856164290318336"/>
    <s v="1623856164290318336"/>
    <m/>
    <s v=""/>
    <s v=""/>
    <s v=""/>
    <s v="1623856164290318336"/>
    <s v="855632749905891328"/>
    <m/>
    <m/>
    <m/>
    <m/>
    <m/>
    <n v="1"/>
    <s v="1"/>
    <s v="1"/>
    <n v="0"/>
    <n v="0"/>
    <n v="1"/>
    <n v="10"/>
    <n v="0"/>
    <n v="0"/>
    <n v="8"/>
    <n v="80"/>
    <n v="10"/>
  </r>
  <r>
    <s v="wintheday848"/>
    <s v="wintheday848"/>
    <m/>
    <m/>
    <m/>
    <m/>
    <m/>
    <m/>
    <m/>
    <m/>
    <s v="No"/>
    <n v="181"/>
    <m/>
    <m/>
    <x v="3"/>
    <d v="2023-08-07T23:32:52.000"/>
    <s v="Way to go Seattle for charging a toll on a bridge I was on a MONTH ago. This is why we don’t like you."/>
    <n v="0"/>
    <n v="0"/>
    <n v="0"/>
    <n v="0"/>
    <n v="192"/>
    <x v="1"/>
    <m/>
    <m/>
    <m/>
    <m/>
    <m/>
    <s v="Twitter for iPhone"/>
    <s v="en"/>
    <s v="https://twitter.com/wintheday848/status/1688694729750523904"/>
    <x v="135"/>
    <d v="2023-08-07T00:00:00.000"/>
    <s v="23:32:52"/>
    <m/>
    <s v="-122.7900653,45.421863 _x000a_-122.7900653,45.6509405 _x000a_-122.471751,45.6509405 _x000a_-122.471751,45.421863 _x000a_-122.7900653,45.421863"/>
    <s v="United States"/>
    <s v="US"/>
    <s v="Portland, OR"/>
    <s v="ac88a4f17a51c7fc"/>
    <s v="Portland"/>
    <s v="city"/>
    <m/>
    <m/>
    <m/>
    <m/>
    <m/>
    <s v="https://pbs.twimg.com/profile_images/1653076172551651329/iKgmSKZh_normal.jpg"/>
    <s v="1688694729750523904"/>
    <s v="1688694729750523904"/>
    <m/>
    <s v=""/>
    <s v=""/>
    <s v=""/>
    <s v="1688694729750523904"/>
    <n v="3114063950"/>
    <m/>
    <m/>
    <m/>
    <m/>
    <m/>
    <n v="1"/>
    <s v="1"/>
    <s v="1"/>
    <n v="0"/>
    <n v="0"/>
    <n v="1"/>
    <n v="4"/>
    <n v="0"/>
    <n v="0"/>
    <n v="8"/>
    <n v="32"/>
    <n v="25"/>
  </r>
  <r>
    <s v="fox12oregon"/>
    <s v="fox12oregon"/>
    <m/>
    <m/>
    <m/>
    <m/>
    <m/>
    <m/>
    <m/>
    <m/>
    <s v="No"/>
    <n v="182"/>
    <m/>
    <m/>
    <x v="3"/>
    <d v="2024-01-22T00:00:06.000"/>
    <s v="Palestinian death toll soars past 25,000 in Gaza with no end in sight to Israel-Hamas war_x000a_ https://t.co/aLmI1Yd9qz"/>
    <n v="1"/>
    <n v="6"/>
    <n v="28"/>
    <n v="0"/>
    <n v="5434"/>
    <x v="1"/>
    <s v="https://www.kptv.com/2024/01/21/palestinian-death-toll-soars-past-25000-gaza-with-no-end-sight-israel-hamas-war/"/>
    <s v="kptv.com"/>
    <m/>
    <m/>
    <m/>
    <s v="Social News Desk (H)"/>
    <s v="en"/>
    <s v="https://twitter.com/fox12oregon/status/1749220355334422815"/>
    <x v="136"/>
    <d v="2024-01-22T00:00:00.000"/>
    <s v="00:00:06"/>
    <b v="0"/>
    <m/>
    <m/>
    <m/>
    <m/>
    <m/>
    <m/>
    <m/>
    <m/>
    <m/>
    <m/>
    <m/>
    <m/>
    <s v="https://pbs.twimg.com/profile_images/1519076253948514304/cGzuNsOd_normal.jpg"/>
    <s v="1749220355334422815"/>
    <s v="1749220355334422815"/>
    <m/>
    <s v=""/>
    <s v=""/>
    <s v=""/>
    <s v="1749220355334422815"/>
    <n v="15564045"/>
    <m/>
    <m/>
    <m/>
    <m/>
    <m/>
    <n v="1"/>
    <s v="24"/>
    <s v="24"/>
    <n v="0"/>
    <n v="0"/>
    <n v="2"/>
    <n v="11.11111111111111"/>
    <n v="0"/>
    <n v="0"/>
    <n v="11"/>
    <n v="61.111111111111114"/>
    <n v="18"/>
  </r>
  <r>
    <s v="miavtv"/>
    <s v="fox12oregon"/>
    <m/>
    <m/>
    <m/>
    <m/>
    <m/>
    <m/>
    <m/>
    <m/>
    <s v="No"/>
    <n v="183"/>
    <m/>
    <m/>
    <x v="0"/>
    <d v="2023-10-26T13:58:22.000"/>
    <s v="MAINE MASS SHOOTINGS: At least 16 people are dead._x000a_Some perspective on what kind of impact this is having on this community: _x000a_There were 29 murders in the entire state of Maine last year. _x000a_FBI data shows Maine had the nation’s lowest rate of violent crime in 2022. @fox12oregon"/>
    <n v="4"/>
    <n v="14"/>
    <n v="4"/>
    <n v="1"/>
    <n v="5160"/>
    <x v="1"/>
    <m/>
    <m/>
    <s v="fox12oregon"/>
    <m/>
    <m/>
    <s v="Twitter Web App"/>
    <s v="en"/>
    <s v="https://twitter.com/miavtv/status/1717541180458881371"/>
    <x v="137"/>
    <d v="2023-10-26T00:00:00.000"/>
    <s v="13:58:22"/>
    <m/>
    <m/>
    <m/>
    <m/>
    <m/>
    <m/>
    <m/>
    <m/>
    <m/>
    <m/>
    <m/>
    <m/>
    <m/>
    <s v="https://pbs.twimg.com/profile_images/1449016357652078592/67q4vPNc_normal.jpg"/>
    <s v="1717541180458881371"/>
    <s v="1717541180458881371"/>
    <m/>
    <s v=""/>
    <s v=""/>
    <s v=""/>
    <s v="1717541180458881371"/>
    <s v="1430897772761214976"/>
    <m/>
    <m/>
    <m/>
    <m/>
    <m/>
    <n v="1"/>
    <s v="24"/>
    <s v="24"/>
    <n v="0"/>
    <n v="0"/>
    <n v="3"/>
    <n v="6"/>
    <n v="0"/>
    <n v="0"/>
    <n v="26"/>
    <n v="52"/>
    <n v="50"/>
  </r>
  <r>
    <s v="miavtv"/>
    <s v="miavtv"/>
    <m/>
    <m/>
    <m/>
    <m/>
    <m/>
    <m/>
    <m/>
    <m/>
    <s v="No"/>
    <n v="184"/>
    <m/>
    <m/>
    <x v="4"/>
    <d v="2023-10-26T16:54:04.000"/>
    <s v="UPDATE: Death toll climbs to 18. _x000a_Law enforcement still searching for suspect, 40 year old Robert Card."/>
    <n v="1"/>
    <n v="2"/>
    <n v="0"/>
    <n v="0"/>
    <n v="1085"/>
    <x v="1"/>
    <m/>
    <m/>
    <m/>
    <m/>
    <m/>
    <s v="Twitter for iPhone"/>
    <s v="en"/>
    <s v="https://twitter.com/miavtv/status/1717585398829031795"/>
    <x v="138"/>
    <d v="2023-10-26T00:00:00.000"/>
    <s v="16:54:04"/>
    <m/>
    <s v="-122.867581,45.426386 _x000a_-122.867581,45.543398 _x000a_-122.743577,45.543398 _x000a_-122.743577,45.426386 _x000a_-122.867581,45.426386"/>
    <s v="United States"/>
    <s v="US"/>
    <s v="Beaverton, OR"/>
    <s v="e0c5378910ca41e0"/>
    <s v="Beaverton"/>
    <s v="city"/>
    <m/>
    <m/>
    <m/>
    <m/>
    <m/>
    <s v="https://pbs.twimg.com/profile_images/1449016357652078592/67q4vPNc_normal.jpg"/>
    <s v="1717585398829031795"/>
    <s v="1717585398829031795"/>
    <m/>
    <s v=""/>
    <s v="1717541180458881371"/>
    <s v=""/>
    <s v="1717541180458881371"/>
    <s v="1430897772761214976"/>
    <m/>
    <m/>
    <m/>
    <m/>
    <m/>
    <n v="1"/>
    <s v="24"/>
    <s v="24"/>
    <n v="0"/>
    <n v="0"/>
    <n v="3"/>
    <n v="17.647058823529413"/>
    <n v="0"/>
    <n v="0"/>
    <n v="12"/>
    <n v="70.58823529411765"/>
    <n v="17"/>
  </r>
  <r>
    <s v="kavanah613"/>
    <s v="oregoncitizen_"/>
    <m/>
    <m/>
    <m/>
    <m/>
    <m/>
    <m/>
    <m/>
    <m/>
    <s v="No"/>
    <n v="185"/>
    <m/>
    <m/>
    <x v="2"/>
    <d v="2024-01-11T14:59:19.000"/>
    <s v="@oregoncitizen_ Why did Wagner appoint her to the committee? If she loves tolling so much, perhaps they should toll the tunnel instead of 205, which has no public transportation. #orpol #orleg"/>
    <n v="0"/>
    <n v="0"/>
    <n v="1"/>
    <n v="0"/>
    <n v="88"/>
    <x v="17"/>
    <m/>
    <m/>
    <s v="oregoncitizen_"/>
    <m/>
    <m/>
    <s v="Twitter for Android"/>
    <s v="en"/>
    <s v="https://twitter.com/kavanah613/status/1745460385216594281"/>
    <x v="139"/>
    <d v="2024-01-11T00:00:00.000"/>
    <s v="14:59:19"/>
    <m/>
    <s v="-122.6775759,45.338472 _x000a_-122.6775759,45.4001413 _x000a_-122.605199,45.4001413 _x000a_-122.605199,45.338472 _x000a_-122.6775759,45.338472"/>
    <s v="United States"/>
    <s v="US"/>
    <s v="West Linn, OR"/>
    <s v="2ea8f95d7d008ab5"/>
    <s v="West Linn"/>
    <s v="city"/>
    <m/>
    <m/>
    <m/>
    <m/>
    <m/>
    <s v="https://pbs.twimg.com/profile_images/1086878175076872192/csiEd6v6_normal.jpg"/>
    <s v="1745460385216594281"/>
    <s v="1742322721143619872"/>
    <s v="1135368066"/>
    <s v="1742322721143619872"/>
    <s v=""/>
    <s v=""/>
    <s v="1742322721143619872"/>
    <n v="35806364"/>
    <m/>
    <m/>
    <m/>
    <m/>
    <m/>
    <n v="1"/>
    <s v="2"/>
    <s v="2"/>
    <n v="1"/>
    <n v="3.225806451612903"/>
    <n v="1"/>
    <n v="3.225806451612903"/>
    <n v="0"/>
    <n v="0"/>
    <n v="14"/>
    <n v="45.16129032258065"/>
    <n v="31"/>
  </r>
  <r>
    <s v="zciwogor"/>
    <s v="dwallacewells"/>
    <m/>
    <m/>
    <m/>
    <m/>
    <m/>
    <m/>
    <m/>
    <m/>
    <s v="No"/>
    <n v="186"/>
    <m/>
    <m/>
    <x v="1"/>
    <d v="2023-07-30T17:41:31.000"/>
    <s v="@CobraEconomics @tinselfire @dwallacewells I know!  The Trumpism being imported from Russia by the wealthy GQP is really taking a toll on uneducated Americans like @CobraEconomics"/>
    <n v="0"/>
    <n v="3"/>
    <n v="1"/>
    <n v="0"/>
    <n v="24"/>
    <x v="1"/>
    <m/>
    <m/>
    <s v="cobraeconomics tinselfire dwallacewells cobraeconomics"/>
    <m/>
    <m/>
    <s v="Twitter for iPhone"/>
    <s v="en"/>
    <s v="https://twitter.com/zciwogor/status/1685707206535356417"/>
    <x v="140"/>
    <d v="2023-07-30T00:00:00.000"/>
    <s v="17:41:31"/>
    <m/>
    <s v="-122.869771,45.345593 _x000a_-122.869771,45.376774 _x000a_-122.805551,45.376774 _x000a_-122.805551,45.345593 _x000a_-122.869771,45.345593"/>
    <s v="United States"/>
    <s v="US"/>
    <s v="Sherwood, OR"/>
    <s v="6870523b6f8d96e6"/>
    <s v="Sherwood"/>
    <s v="city"/>
    <m/>
    <m/>
    <m/>
    <m/>
    <m/>
    <s v="https://pbs.twimg.com/profile_images/1681786098190815232/zk_d_1f6_normal.jpg"/>
    <s v="1685707206535356417"/>
    <s v="1685286512806551552"/>
    <s v="1553943156168720391"/>
    <s v="1685705759600848896"/>
    <s v=""/>
    <s v=""/>
    <s v="1685705759600848896"/>
    <n v="139196645"/>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25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225">
    <i>
      <x v="1"/>
    </i>
    <i r="1">
      <x v="1"/>
    </i>
    <i r="2">
      <x v="2"/>
    </i>
    <i r="3">
      <x v="24"/>
    </i>
    <i r="2">
      <x v="4"/>
    </i>
    <i r="3">
      <x v="4"/>
    </i>
    <i r="2">
      <x v="11"/>
    </i>
    <i r="3">
      <x v="3"/>
    </i>
    <i r="2">
      <x v="16"/>
    </i>
    <i r="3">
      <x v="24"/>
    </i>
    <i r="2">
      <x v="21"/>
    </i>
    <i r="3">
      <x v="22"/>
    </i>
    <i r="1">
      <x v="2"/>
    </i>
    <i r="2">
      <x v="37"/>
    </i>
    <i r="3">
      <x v="15"/>
    </i>
    <i r="2">
      <x v="39"/>
    </i>
    <i r="3">
      <x v="1"/>
    </i>
    <i r="2">
      <x v="41"/>
    </i>
    <i r="3">
      <x v="2"/>
    </i>
    <i r="3">
      <x v="23"/>
    </i>
    <i r="2">
      <x v="42"/>
    </i>
    <i r="3">
      <x v="21"/>
    </i>
    <i r="3">
      <x v="24"/>
    </i>
    <i r="2">
      <x v="43"/>
    </i>
    <i r="3">
      <x v="1"/>
    </i>
    <i r="2">
      <x v="44"/>
    </i>
    <i r="3">
      <x v="6"/>
    </i>
    <i r="2">
      <x v="50"/>
    </i>
    <i r="3">
      <x v="24"/>
    </i>
    <i r="2">
      <x v="57"/>
    </i>
    <i r="3">
      <x v="4"/>
    </i>
    <i r="1">
      <x v="3"/>
    </i>
    <i r="2">
      <x v="67"/>
    </i>
    <i r="3">
      <x v="12"/>
    </i>
    <i r="2">
      <x v="68"/>
    </i>
    <i r="3">
      <x v="1"/>
    </i>
    <i r="3">
      <x v="3"/>
    </i>
    <i r="2">
      <x v="71"/>
    </i>
    <i r="3">
      <x v="4"/>
    </i>
    <i r="2">
      <x v="73"/>
    </i>
    <i r="3">
      <x v="20"/>
    </i>
    <i r="2">
      <x v="84"/>
    </i>
    <i r="3">
      <x v="21"/>
    </i>
    <i r="1">
      <x v="4"/>
    </i>
    <i r="2">
      <x v="96"/>
    </i>
    <i r="3">
      <x v="15"/>
    </i>
    <i r="3">
      <x v="19"/>
    </i>
    <i r="2">
      <x v="104"/>
    </i>
    <i r="3">
      <x v="23"/>
    </i>
    <i r="2">
      <x v="106"/>
    </i>
    <i r="3">
      <x v="2"/>
    </i>
    <i r="2">
      <x v="107"/>
    </i>
    <i r="3">
      <x v="23"/>
    </i>
    <i r="2">
      <x v="119"/>
    </i>
    <i r="3">
      <x v="19"/>
    </i>
    <i r="3">
      <x v="20"/>
    </i>
    <i r="1">
      <x v="5"/>
    </i>
    <i r="2">
      <x v="129"/>
    </i>
    <i r="3">
      <x v="2"/>
    </i>
    <i r="2">
      <x v="133"/>
    </i>
    <i r="3">
      <x v="20"/>
    </i>
    <i r="2">
      <x v="144"/>
    </i>
    <i r="3">
      <x v="20"/>
    </i>
    <i r="2">
      <x v="147"/>
    </i>
    <i r="3">
      <x v="1"/>
    </i>
    <i r="3">
      <x v="19"/>
    </i>
    <i r="1">
      <x v="6"/>
    </i>
    <i r="2">
      <x v="155"/>
    </i>
    <i r="3">
      <x v="5"/>
    </i>
    <i r="2">
      <x v="164"/>
    </i>
    <i r="3">
      <x v="17"/>
    </i>
    <i r="2">
      <x v="170"/>
    </i>
    <i r="3">
      <x v="19"/>
    </i>
    <i r="1">
      <x v="7"/>
    </i>
    <i r="2">
      <x v="186"/>
    </i>
    <i r="3">
      <x v="21"/>
    </i>
    <i r="2">
      <x v="199"/>
    </i>
    <i r="3">
      <x v="7"/>
    </i>
    <i r="2">
      <x v="208"/>
    </i>
    <i r="3">
      <x v="16"/>
    </i>
    <i r="2">
      <x v="212"/>
    </i>
    <i r="3">
      <x v="18"/>
    </i>
    <i r="1">
      <x v="8"/>
    </i>
    <i r="2">
      <x v="218"/>
    </i>
    <i r="3">
      <x v="19"/>
    </i>
    <i r="2">
      <x v="220"/>
    </i>
    <i r="3">
      <x v="24"/>
    </i>
    <i r="2">
      <x v="223"/>
    </i>
    <i r="3">
      <x v="24"/>
    </i>
    <i r="2">
      <x v="225"/>
    </i>
    <i r="3">
      <x v="3"/>
    </i>
    <i r="3">
      <x v="9"/>
    </i>
    <i r="2">
      <x v="226"/>
    </i>
    <i r="3">
      <x v="23"/>
    </i>
    <i r="2">
      <x v="227"/>
    </i>
    <i r="3">
      <x v="6"/>
    </i>
    <i r="2">
      <x v="229"/>
    </i>
    <i r="3">
      <x v="3"/>
    </i>
    <i r="2">
      <x v="232"/>
    </i>
    <i r="3">
      <x v="16"/>
    </i>
    <i r="1">
      <x v="9"/>
    </i>
    <i r="2">
      <x v="249"/>
    </i>
    <i r="3">
      <x v="1"/>
    </i>
    <i r="2">
      <x v="251"/>
    </i>
    <i r="3">
      <x v="15"/>
    </i>
    <i r="2">
      <x v="268"/>
    </i>
    <i r="3">
      <x v="24"/>
    </i>
    <i r="1">
      <x v="10"/>
    </i>
    <i r="2">
      <x v="275"/>
    </i>
    <i r="3">
      <x v="15"/>
    </i>
    <i r="2">
      <x v="281"/>
    </i>
    <i r="3">
      <x v="19"/>
    </i>
    <i r="2">
      <x v="284"/>
    </i>
    <i r="3">
      <x v="19"/>
    </i>
    <i r="2">
      <x v="286"/>
    </i>
    <i r="3">
      <x v="18"/>
    </i>
    <i r="2">
      <x v="289"/>
    </i>
    <i r="3">
      <x v="24"/>
    </i>
    <i r="2">
      <x v="290"/>
    </i>
    <i r="3">
      <x v="5"/>
    </i>
    <i r="2">
      <x v="293"/>
    </i>
    <i r="3">
      <x v="3"/>
    </i>
    <i r="2">
      <x v="300"/>
    </i>
    <i r="3">
      <x v="14"/>
    </i>
    <i r="3">
      <x v="17"/>
    </i>
    <i r="2">
      <x v="302"/>
    </i>
    <i r="3">
      <x v="3"/>
    </i>
    <i r="2">
      <x v="303"/>
    </i>
    <i r="3">
      <x v="20"/>
    </i>
    <i r="3">
      <x v="23"/>
    </i>
    <i r="1">
      <x v="11"/>
    </i>
    <i r="2">
      <x v="308"/>
    </i>
    <i r="3">
      <x v="20"/>
    </i>
    <i r="2">
      <x v="311"/>
    </i>
    <i r="3">
      <x v="15"/>
    </i>
    <i r="2">
      <x v="315"/>
    </i>
    <i r="3">
      <x v="8"/>
    </i>
    <i r="2">
      <x v="319"/>
    </i>
    <i r="3">
      <x v="11"/>
    </i>
    <i r="2">
      <x v="322"/>
    </i>
    <i r="3">
      <x v="24"/>
    </i>
    <i r="2">
      <x v="326"/>
    </i>
    <i r="3">
      <x v="23"/>
    </i>
    <i r="3">
      <x v="24"/>
    </i>
    <i r="1">
      <x v="12"/>
    </i>
    <i r="2">
      <x v="338"/>
    </i>
    <i r="3">
      <x v="7"/>
    </i>
    <i r="2">
      <x v="343"/>
    </i>
    <i r="3">
      <x v="19"/>
    </i>
    <i r="2">
      <x v="350"/>
    </i>
    <i r="3">
      <x v="24"/>
    </i>
    <i r="2">
      <x v="351"/>
    </i>
    <i r="3">
      <x v="1"/>
    </i>
    <i r="2">
      <x v="352"/>
    </i>
    <i r="3">
      <x v="2"/>
    </i>
    <i r="2">
      <x v="357"/>
    </i>
    <i r="3">
      <x v="3"/>
    </i>
    <i>
      <x v="2"/>
    </i>
    <i r="1">
      <x v="1"/>
    </i>
    <i r="2">
      <x v="2"/>
    </i>
    <i r="3">
      <x v="21"/>
    </i>
    <i r="3">
      <x v="24"/>
    </i>
    <i r="2">
      <x v="3"/>
    </i>
    <i r="3">
      <x v="16"/>
    </i>
    <i r="2">
      <x v="7"/>
    </i>
    <i r="3">
      <x v="18"/>
    </i>
    <i r="2">
      <x v="11"/>
    </i>
    <i r="3">
      <x v="2"/>
    </i>
    <i r="3">
      <x v="15"/>
    </i>
    <i r="2">
      <x v="17"/>
    </i>
    <i r="3">
      <x v="24"/>
    </i>
    <i r="2">
      <x v="20"/>
    </i>
    <i r="3">
      <x v="9"/>
    </i>
    <i r="2">
      <x v="21"/>
    </i>
    <i r="3">
      <x v="17"/>
    </i>
    <i r="3">
      <x v="22"/>
    </i>
    <i r="2">
      <x v="22"/>
    </i>
    <i r="3">
      <x v="1"/>
    </i>
    <i r="3">
      <x v="4"/>
    </i>
    <i r="3">
      <x v="5"/>
    </i>
    <i r="3">
      <x v="16"/>
    </i>
    <i r="3">
      <x v="18"/>
    </i>
    <i r="3">
      <x v="19"/>
    </i>
    <i r="3">
      <x v="20"/>
    </i>
    <i r="2">
      <x v="23"/>
    </i>
    <i r="3">
      <x v="5"/>
    </i>
    <i r="3">
      <x v="18"/>
    </i>
    <i r="3">
      <x v="19"/>
    </i>
    <i r="3">
      <x v="20"/>
    </i>
    <i r="2">
      <x v="24"/>
    </i>
    <i r="3">
      <x v="2"/>
    </i>
    <i r="3">
      <x v="14"/>
    </i>
    <i r="3">
      <x v="16"/>
    </i>
    <i r="3">
      <x v="21"/>
    </i>
    <i r="3">
      <x v="22"/>
    </i>
    <i r="3">
      <x v="23"/>
    </i>
    <i r="2">
      <x v="25"/>
    </i>
    <i r="3">
      <x v="2"/>
    </i>
    <i r="3">
      <x v="5"/>
    </i>
    <i r="3">
      <x v="12"/>
    </i>
    <i r="3">
      <x v="15"/>
    </i>
    <i r="3">
      <x v="24"/>
    </i>
    <i r="2">
      <x v="26"/>
    </i>
    <i r="3">
      <x v="3"/>
    </i>
    <i r="3">
      <x v="4"/>
    </i>
    <i r="3">
      <x v="11"/>
    </i>
    <i r="3">
      <x v="20"/>
    </i>
    <i r="3">
      <x v="23"/>
    </i>
    <i r="2">
      <x v="27"/>
    </i>
    <i r="3">
      <x v="7"/>
    </i>
    <i r="3">
      <x v="19"/>
    </i>
    <i r="3">
      <x v="20"/>
    </i>
    <i r="3">
      <x v="21"/>
    </i>
    <i r="2">
      <x v="28"/>
    </i>
    <i r="3">
      <x v="7"/>
    </i>
    <i r="3">
      <x v="8"/>
    </i>
    <i r="3">
      <x v="18"/>
    </i>
    <i r="3">
      <x v="20"/>
    </i>
    <i r="3">
      <x v="21"/>
    </i>
    <i r="3">
      <x v="22"/>
    </i>
    <i r="3">
      <x v="23"/>
    </i>
    <i r="2">
      <x v="29"/>
    </i>
    <i r="3">
      <x v="7"/>
    </i>
    <i r="3">
      <x v="15"/>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57376167">
      <items count="6">
        <i x="0" s="1"/>
        <i x="5" s="1"/>
        <i x="1" s="1"/>
        <i x="4"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57376167">
      <items count="18">
        <i x="2" s="1"/>
        <i x="10" s="1"/>
        <i x="12" s="1"/>
        <i x="16" s="1"/>
        <i x="5" s="1"/>
        <i x="8" s="1"/>
        <i x="7" s="1"/>
        <i x="14" s="1"/>
        <i x="6" s="1"/>
        <i x="13" s="1"/>
        <i x="15" s="1"/>
        <i x="0" s="1"/>
        <i x="17" s="1"/>
        <i x="9" s="1"/>
        <i x="3" s="1"/>
        <i x="4"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89" totalsRowShown="0" headerRowDxfId="539" dataDxfId="503">
  <autoFilter ref="A2:BU189"/>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3" totalsRowShown="0" headerRowDxfId="369" dataDxfId="368">
  <autoFilter ref="A1:G583"/>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1" totalsRowShown="0" headerRowDxfId="360" dataDxfId="359">
  <autoFilter ref="A1:L15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60" totalsRowShown="0" headerRowDxfId="318" dataDxfId="317">
  <autoFilter ref="A1:C236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6" totalsRowShown="0" headerRowDxfId="309" dataDxfId="308">
  <autoFilter ref="A2:C66"/>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3" totalsRowShown="0" headerRowDxfId="73" dataDxfId="72">
  <autoFilter ref="A2:BU14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20" totalsRowShown="0" headerRowDxfId="538" dataDxfId="489">
  <autoFilter ref="A2:CJ220"/>
  <sortState ref="A3:CJ220">
    <sortCondition descending="1" sortBy="value" ref="V3:V220"/>
  </sortState>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6" totalsRowShown="0" headerRowDxfId="537">
  <autoFilter ref="A2:AO66"/>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9" totalsRowShown="0" headerRowDxfId="534" dataDxfId="533">
  <autoFilter ref="A1:C219"/>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ashingtonpost.com/world/2023/11/06/israel-hamas-war-gaza-news-palestine/" TargetMode="External" /><Relationship Id="rId2" Type="http://schemas.openxmlformats.org/officeDocument/2006/relationships/hyperlink" Target="https://www.kptv.com/2024/01/21/palestinian-death-toll-soars-past-25000-gaza-with-no-end-sight-israel-hamas-war/" TargetMode="External" /><Relationship Id="rId3" Type="http://schemas.openxmlformats.org/officeDocument/2006/relationships/hyperlink" Target="https://www.washingtonpost.com/world/2023/02/09/turkey-syria-earthquake-death-count-updates/" TargetMode="External" /><Relationship Id="rId4" Type="http://schemas.openxmlformats.org/officeDocument/2006/relationships/hyperlink" Target="https://www.oregonlive.com/nation/2024/01/palestinian-death-toll-in-gaza-surpasses-25000-while-israel-announces-death-of-another-hostage.html?utm_campaign=theoregonian_sf&amp;utm_medium=social&amp;utm_source=twitter" TargetMode="External" /><Relationship Id="rId5"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6"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7"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8" Type="http://schemas.openxmlformats.org/officeDocument/2006/relationships/hyperlink" Target="https://www.sec.gov/news/press-release/2022-97" TargetMode="External" /><Relationship Id="rId9" Type="http://schemas.openxmlformats.org/officeDocument/2006/relationships/hyperlink" Target="https://www.voanews.com/a/gaza-death-toll-climbs-above-26-000-health-ministry-reports/7458258.html" TargetMode="External" /><Relationship Id="rId10" Type="http://schemas.openxmlformats.org/officeDocument/2006/relationships/hyperlink" Target="https://www.nytimes.com/interactive/2021/08/11/climate/deaths-pacific-northwest-heat-wave.html?smid=nytcore-android-share" TargetMode="External" /><Relationship Id="rId11" Type="http://schemas.openxmlformats.org/officeDocument/2006/relationships/hyperlink" Target="https://www.washingtonpost.com/world/2023/11/06/israel-hamas-war-gaza-news-palestine/" TargetMode="External" /><Relationship Id="rId12" Type="http://schemas.openxmlformats.org/officeDocument/2006/relationships/hyperlink" Target="https://www.youtube.com/watch?v=oVWDz6HzozI" TargetMode="External" /><Relationship Id="rId13" Type="http://schemas.openxmlformats.org/officeDocument/2006/relationships/hyperlink" Target="https://apnews.com/article/israel-hamas-war-news-01-21-2024-02caafa092668ecc7ff122229c166807" TargetMode="External" /><Relationship Id="rId14" Type="http://schemas.openxmlformats.org/officeDocument/2006/relationships/hyperlink" Target="https://www.thestreet.com/crypto/markets/sec-approves-first-ever-spot-bitcoin-etfs" TargetMode="External" /><Relationship Id="rId15" Type="http://schemas.openxmlformats.org/officeDocument/2006/relationships/hyperlink" Target="http://dlvr.it/T1nZyd" TargetMode="External" /><Relationship Id="rId16" Type="http://schemas.openxmlformats.org/officeDocument/2006/relationships/hyperlink" Target="https://www.gcsaa.org/resources/regional-resources/northwest/northwest-blog/2023/11/21/creating-an-emotional-support-network" TargetMode="External" /><Relationship Id="rId17" Type="http://schemas.openxmlformats.org/officeDocument/2006/relationships/hyperlink" Target="https://www.nytimes.com/2023/03/08/us/san-bernardino-snow-storm-deaths.html" TargetMode="External" /><Relationship Id="rId18" Type="http://schemas.openxmlformats.org/officeDocument/2006/relationships/hyperlink" Target="https://wapo.st/45mSV1C" TargetMode="External" /><Relationship Id="rId19" Type="http://schemas.openxmlformats.org/officeDocument/2006/relationships/hyperlink" Target="https://www.kgw.com/article/news/nation-world/israel-hamas-conflict/israel-hamas-war-palestinian-death-toll-in-gaza/507-b5580c00-947b-4cdf-bc5a-f1a42ba9377a?utm_campaign=snd-autopilot" TargetMode="External" /><Relationship Id="rId20" Type="http://schemas.openxmlformats.org/officeDocument/2006/relationships/hyperlink" Target="https://www.nytimes.com/interactive/2021/08/11/climate/deaths-pacific-northwest-heat-wave.html?smid=nytcore-android-share" TargetMode="External" /><Relationship Id="rId21" Type="http://schemas.openxmlformats.org/officeDocument/2006/relationships/hyperlink" Target="https://www.sec.gov/news/press-release/2022-97" TargetMode="External" /><Relationship Id="rId22" Type="http://schemas.openxmlformats.org/officeDocument/2006/relationships/hyperlink" Target="https://bit.ly/3SbbYbm" TargetMode="External" /><Relationship Id="rId23" Type="http://schemas.openxmlformats.org/officeDocument/2006/relationships/hyperlink" Target="https://www.kgw.com/article/news/local/interstate-bridge-replacement-first-federal-funding/283-ee7735d4-4c90-4f7c-92d7-55069cb98bca"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2348</v>
      </c>
      <c r="BK2" s="7" t="s">
        <v>2426</v>
      </c>
      <c r="BL2" s="7" t="s">
        <v>2427</v>
      </c>
      <c r="BM2" s="50" t="s">
        <v>2812</v>
      </c>
      <c r="BN2" s="50" t="s">
        <v>2813</v>
      </c>
      <c r="BO2" s="50" t="s">
        <v>2814</v>
      </c>
      <c r="BP2" s="50" t="s">
        <v>2815</v>
      </c>
      <c r="BQ2" s="50" t="s">
        <v>2816</v>
      </c>
      <c r="BR2" s="50" t="s">
        <v>2817</v>
      </c>
      <c r="BS2" s="50" t="s">
        <v>2818</v>
      </c>
      <c r="BT2" s="50" t="s">
        <v>2819</v>
      </c>
      <c r="BU2" s="50" t="s">
        <v>2820</v>
      </c>
    </row>
    <row r="3" spans="1:73" ht="15" customHeight="1">
      <c r="A3" s="61" t="s">
        <v>339</v>
      </c>
      <c r="B3" s="61" t="s">
        <v>436</v>
      </c>
      <c r="C3" s="62" t="s">
        <v>11652</v>
      </c>
      <c r="D3" s="63">
        <v>3</v>
      </c>
      <c r="E3" s="64" t="s">
        <v>132</v>
      </c>
      <c r="F3" s="65">
        <v>32</v>
      </c>
      <c r="G3" s="62"/>
      <c r="H3" s="66"/>
      <c r="I3" s="67"/>
      <c r="J3" s="67"/>
      <c r="K3" s="31" t="s">
        <v>65</v>
      </c>
      <c r="L3" s="68">
        <v>3</v>
      </c>
      <c r="M3" s="68"/>
      <c r="N3" s="69"/>
      <c r="O3" s="76" t="s">
        <v>440</v>
      </c>
      <c r="P3" s="78">
        <v>45317.12064814815</v>
      </c>
      <c r="Q3" s="76" t="s">
        <v>581</v>
      </c>
      <c r="R3" s="76">
        <v>0</v>
      </c>
      <c r="S3" s="76">
        <v>5</v>
      </c>
      <c r="T3" s="76">
        <v>0</v>
      </c>
      <c r="U3" s="76">
        <v>0</v>
      </c>
      <c r="V3" s="76">
        <v>432</v>
      </c>
      <c r="W3" s="80" t="s">
        <v>597</v>
      </c>
      <c r="X3" s="82" t="str">
        <f>HYPERLINK("https://www.oregoncapitalinsider.com/news/oregon-insiders-whos-who-in-and-around-state-government/article_787328d4-bbde-11ee-b340-8b6c5845b41d.html?utm_medium=social&amp;utm_source=twitter&amp;utm_campaign=user-share")</f>
        <v>https://www.oregoncapitalinsider.com/news/oregon-insiders-whos-who-in-and-around-state-government/article_787328d4-bbde-11ee-b340-8b6c5845b41d.html?utm_medium=social&amp;utm_source=twitter&amp;utm_campaign=user-share</v>
      </c>
      <c r="Y3" s="76" t="s">
        <v>620</v>
      </c>
      <c r="Z3" s="76" t="s">
        <v>436</v>
      </c>
      <c r="AA3" s="76"/>
      <c r="AB3" s="76"/>
      <c r="AC3" s="80" t="s">
        <v>675</v>
      </c>
      <c r="AD3" s="76" t="s">
        <v>686</v>
      </c>
      <c r="AE3" s="82" t="str">
        <f>HYPERLINK("https://twitter.com/dickhughes/status/1750713601894003103")</f>
        <v>https://twitter.com/dickhughes/status/1750713601894003103</v>
      </c>
      <c r="AF3" s="78">
        <v>45317.12064814815</v>
      </c>
      <c r="AG3" s="84">
        <v>45317</v>
      </c>
      <c r="AH3" s="80" t="s">
        <v>826</v>
      </c>
      <c r="AI3" s="76" t="b">
        <v>0</v>
      </c>
      <c r="AJ3" s="76"/>
      <c r="AK3" s="76"/>
      <c r="AL3" s="76"/>
      <c r="AM3" s="76"/>
      <c r="AN3" s="76"/>
      <c r="AO3" s="76"/>
      <c r="AP3" s="76"/>
      <c r="AQ3" s="76"/>
      <c r="AR3" s="76"/>
      <c r="AS3" s="76"/>
      <c r="AT3" s="76"/>
      <c r="AU3" s="76"/>
      <c r="AV3" s="82" t="str">
        <f>HYPERLINK("https://pbs.twimg.com/profile_images/59386571/DickHughes_normal.jpg")</f>
        <v>https://pbs.twimg.com/profile_images/59386571/DickHughes_normal.jpg</v>
      </c>
      <c r="AW3" s="80" t="s">
        <v>1080</v>
      </c>
      <c r="AX3" s="80" t="s">
        <v>1080</v>
      </c>
      <c r="AY3" s="76"/>
      <c r="AZ3" s="80" t="s">
        <v>1210</v>
      </c>
      <c r="BA3" s="80" t="s">
        <v>1210</v>
      </c>
      <c r="BB3" s="80" t="s">
        <v>1210</v>
      </c>
      <c r="BC3" s="80" t="s">
        <v>1080</v>
      </c>
      <c r="BD3" s="76">
        <v>16121482</v>
      </c>
      <c r="BE3" s="76"/>
      <c r="BF3" s="76"/>
      <c r="BG3" s="76"/>
      <c r="BH3" s="76"/>
      <c r="BI3" s="76"/>
      <c r="BJ3">
        <v>1</v>
      </c>
      <c r="BK3" s="76" t="str">
        <f>REPLACE(INDEX(GroupVertices[Group],MATCH("~"&amp;Edges[[#This Row],[Vertex 1]],GroupVertices[Vertex],0)),1,1,"")</f>
        <v>64</v>
      </c>
      <c r="BL3" s="76" t="str">
        <f>REPLACE(INDEX(GroupVertices[Group],MATCH("~"&amp;Edges[[#This Row],[Vertex 2]],GroupVertices[Vertex],0)),1,1,"")</f>
        <v>64</v>
      </c>
      <c r="BM3" s="45">
        <v>0</v>
      </c>
      <c r="BN3" s="46">
        <v>0</v>
      </c>
      <c r="BO3" s="45">
        <v>2</v>
      </c>
      <c r="BP3" s="46">
        <v>6.666666666666667</v>
      </c>
      <c r="BQ3" s="45">
        <v>0</v>
      </c>
      <c r="BR3" s="46">
        <v>0</v>
      </c>
      <c r="BS3" s="45">
        <v>14</v>
      </c>
      <c r="BT3" s="46">
        <v>46.666666666666664</v>
      </c>
      <c r="BU3" s="45">
        <v>30</v>
      </c>
    </row>
    <row r="4" spans="1:73" ht="15" customHeight="1">
      <c r="A4" s="61" t="s">
        <v>223</v>
      </c>
      <c r="B4" s="61" t="s">
        <v>340</v>
      </c>
      <c r="C4" s="62" t="s">
        <v>11652</v>
      </c>
      <c r="D4" s="63">
        <v>3</v>
      </c>
      <c r="E4" s="64" t="s">
        <v>132</v>
      </c>
      <c r="F4" s="65">
        <v>32</v>
      </c>
      <c r="G4" s="62"/>
      <c r="H4" s="66"/>
      <c r="I4" s="67"/>
      <c r="J4" s="67"/>
      <c r="K4" s="31" t="s">
        <v>65</v>
      </c>
      <c r="L4" s="75">
        <v>4</v>
      </c>
      <c r="M4" s="75"/>
      <c r="N4" s="69"/>
      <c r="O4" s="77" t="s">
        <v>437</v>
      </c>
      <c r="P4" s="79">
        <v>45032.94793981482</v>
      </c>
      <c r="Q4" s="77" t="s">
        <v>442</v>
      </c>
      <c r="R4" s="77">
        <v>0</v>
      </c>
      <c r="S4" s="77">
        <v>0</v>
      </c>
      <c r="T4" s="77">
        <v>1</v>
      </c>
      <c r="U4" s="77">
        <v>0</v>
      </c>
      <c r="V4" s="77">
        <v>36</v>
      </c>
      <c r="W4" s="77"/>
      <c r="X4" s="77"/>
      <c r="Y4" s="77"/>
      <c r="Z4" s="77" t="s">
        <v>621</v>
      </c>
      <c r="AA4" s="77" t="s">
        <v>647</v>
      </c>
      <c r="AB4" s="77" t="s">
        <v>669</v>
      </c>
      <c r="AC4" s="81" t="s">
        <v>674</v>
      </c>
      <c r="AD4" s="77" t="s">
        <v>686</v>
      </c>
      <c r="AE4" s="83" t="str">
        <f>HYPERLINK("https://twitter.com/2020insofewways/status/1647732862085660673")</f>
        <v>https://twitter.com/2020insofewways/status/1647732862085660673</v>
      </c>
      <c r="AF4" s="79">
        <v>45032.94793981482</v>
      </c>
      <c r="AG4" s="85">
        <v>45032</v>
      </c>
      <c r="AH4" s="81" t="s">
        <v>687</v>
      </c>
      <c r="AI4" s="77" t="b">
        <v>0</v>
      </c>
      <c r="AJ4" s="77" t="s">
        <v>827</v>
      </c>
      <c r="AK4" s="77" t="s">
        <v>849</v>
      </c>
      <c r="AL4" s="77" t="s">
        <v>850</v>
      </c>
      <c r="AM4" s="77" t="s">
        <v>851</v>
      </c>
      <c r="AN4" s="77" t="s">
        <v>873</v>
      </c>
      <c r="AO4" s="77" t="s">
        <v>895</v>
      </c>
      <c r="AP4" s="77" t="s">
        <v>917</v>
      </c>
      <c r="AQ4" s="77" t="s">
        <v>918</v>
      </c>
      <c r="AR4" s="77"/>
      <c r="AS4" s="77"/>
      <c r="AT4" s="77"/>
      <c r="AU4" s="77"/>
      <c r="AV4" s="83" t="str">
        <f>HYPERLINK("https://pbs.twimg.com/media/Ft3sTYhaAAA0pI6.jpg")</f>
        <v>https://pbs.twimg.com/media/Ft3sTYhaAAA0pI6.jpg</v>
      </c>
      <c r="AW4" s="81" t="s">
        <v>940</v>
      </c>
      <c r="AX4" s="81" t="s">
        <v>1081</v>
      </c>
      <c r="AY4" s="81" t="s">
        <v>1145</v>
      </c>
      <c r="AZ4" s="81" t="s">
        <v>1207</v>
      </c>
      <c r="BA4" s="81" t="s">
        <v>1210</v>
      </c>
      <c r="BB4" s="81" t="s">
        <v>1210</v>
      </c>
      <c r="BC4" s="81" t="s">
        <v>1207</v>
      </c>
      <c r="BD4" s="77">
        <v>2303676979</v>
      </c>
      <c r="BE4" s="77"/>
      <c r="BF4" s="77"/>
      <c r="BG4" s="77"/>
      <c r="BH4" s="77"/>
      <c r="BI4" s="77"/>
      <c r="BJ4">
        <v>1</v>
      </c>
      <c r="BK4" s="76" t="str">
        <f>REPLACE(INDEX(GroupVertices[Group],MATCH("~"&amp;Edges[[#This Row],[Vertex 1]],GroupVertices[Vertex],0)),1,1,"")</f>
        <v>23</v>
      </c>
      <c r="BL4" s="76" t="str">
        <f>REPLACE(INDEX(GroupVertices[Group],MATCH("~"&amp;Edges[[#This Row],[Vertex 2]],GroupVertices[Vertex],0)),1,1,"")</f>
        <v>23</v>
      </c>
      <c r="BM4" s="45"/>
      <c r="BN4" s="46"/>
      <c r="BO4" s="45"/>
      <c r="BP4" s="46"/>
      <c r="BQ4" s="45"/>
      <c r="BR4" s="46"/>
      <c r="BS4" s="45"/>
      <c r="BT4" s="46"/>
      <c r="BU4" s="45"/>
    </row>
    <row r="5" spans="1:73" ht="15">
      <c r="A5" s="61" t="s">
        <v>223</v>
      </c>
      <c r="B5" s="61" t="s">
        <v>341</v>
      </c>
      <c r="C5" s="62" t="s">
        <v>11652</v>
      </c>
      <c r="D5" s="63">
        <v>3</v>
      </c>
      <c r="E5" s="64" t="s">
        <v>132</v>
      </c>
      <c r="F5" s="65">
        <v>32</v>
      </c>
      <c r="G5" s="62"/>
      <c r="H5" s="66"/>
      <c r="I5" s="67"/>
      <c r="J5" s="67"/>
      <c r="K5" s="31" t="s">
        <v>65</v>
      </c>
      <c r="L5" s="75">
        <v>5</v>
      </c>
      <c r="M5" s="75"/>
      <c r="N5" s="69"/>
      <c r="O5" s="77" t="s">
        <v>438</v>
      </c>
      <c r="P5" s="79">
        <v>45032.94793981482</v>
      </c>
      <c r="Q5" s="77" t="s">
        <v>442</v>
      </c>
      <c r="R5" s="77">
        <v>0</v>
      </c>
      <c r="S5" s="77">
        <v>0</v>
      </c>
      <c r="T5" s="77">
        <v>1</v>
      </c>
      <c r="U5" s="77">
        <v>0</v>
      </c>
      <c r="V5" s="77">
        <v>36</v>
      </c>
      <c r="W5" s="77"/>
      <c r="X5" s="77"/>
      <c r="Y5" s="77"/>
      <c r="Z5" s="77" t="s">
        <v>621</v>
      </c>
      <c r="AA5" s="77" t="s">
        <v>647</v>
      </c>
      <c r="AB5" s="77" t="s">
        <v>669</v>
      </c>
      <c r="AC5" s="81" t="s">
        <v>674</v>
      </c>
      <c r="AD5" s="77" t="s">
        <v>686</v>
      </c>
      <c r="AE5" s="83" t="str">
        <f>HYPERLINK("https://twitter.com/2020insofewways/status/1647732862085660673")</f>
        <v>https://twitter.com/2020insofewways/status/1647732862085660673</v>
      </c>
      <c r="AF5" s="79">
        <v>45032.94793981482</v>
      </c>
      <c r="AG5" s="85">
        <v>45032</v>
      </c>
      <c r="AH5" s="81" t="s">
        <v>687</v>
      </c>
      <c r="AI5" s="77" t="b">
        <v>0</v>
      </c>
      <c r="AJ5" s="77" t="s">
        <v>827</v>
      </c>
      <c r="AK5" s="77" t="s">
        <v>849</v>
      </c>
      <c r="AL5" s="77" t="s">
        <v>850</v>
      </c>
      <c r="AM5" s="77" t="s">
        <v>851</v>
      </c>
      <c r="AN5" s="77" t="s">
        <v>873</v>
      </c>
      <c r="AO5" s="77" t="s">
        <v>895</v>
      </c>
      <c r="AP5" s="77" t="s">
        <v>917</v>
      </c>
      <c r="AQ5" s="77" t="s">
        <v>918</v>
      </c>
      <c r="AR5" s="77"/>
      <c r="AS5" s="77"/>
      <c r="AT5" s="77"/>
      <c r="AU5" s="77"/>
      <c r="AV5" s="83" t="str">
        <f>HYPERLINK("https://pbs.twimg.com/media/Ft3sTYhaAAA0pI6.jpg")</f>
        <v>https://pbs.twimg.com/media/Ft3sTYhaAAA0pI6.jpg</v>
      </c>
      <c r="AW5" s="81" t="s">
        <v>940</v>
      </c>
      <c r="AX5" s="81" t="s">
        <v>1081</v>
      </c>
      <c r="AY5" s="81" t="s">
        <v>1145</v>
      </c>
      <c r="AZ5" s="81" t="s">
        <v>1207</v>
      </c>
      <c r="BA5" s="81" t="s">
        <v>1210</v>
      </c>
      <c r="BB5" s="81" t="s">
        <v>1210</v>
      </c>
      <c r="BC5" s="81" t="s">
        <v>1207</v>
      </c>
      <c r="BD5" s="77">
        <v>2303676979</v>
      </c>
      <c r="BE5" s="77"/>
      <c r="BF5" s="77"/>
      <c r="BG5" s="77"/>
      <c r="BH5" s="77"/>
      <c r="BI5" s="77"/>
      <c r="BJ5">
        <v>1</v>
      </c>
      <c r="BK5" s="76" t="str">
        <f>REPLACE(INDEX(GroupVertices[Group],MATCH("~"&amp;Edges[[#This Row],[Vertex 1]],GroupVertices[Vertex],0)),1,1,"")</f>
        <v>23</v>
      </c>
      <c r="BL5" s="76" t="str">
        <f>REPLACE(INDEX(GroupVertices[Group],MATCH("~"&amp;Edges[[#This Row],[Vertex 2]],GroupVertices[Vertex],0)),1,1,"")</f>
        <v>23</v>
      </c>
      <c r="BM5" s="45">
        <v>0</v>
      </c>
      <c r="BN5" s="46">
        <v>0</v>
      </c>
      <c r="BO5" s="45">
        <v>2</v>
      </c>
      <c r="BP5" s="46">
        <v>10</v>
      </c>
      <c r="BQ5" s="45">
        <v>0</v>
      </c>
      <c r="BR5" s="46">
        <v>0</v>
      </c>
      <c r="BS5" s="45">
        <v>12</v>
      </c>
      <c r="BT5" s="46">
        <v>60</v>
      </c>
      <c r="BU5" s="45">
        <v>20</v>
      </c>
    </row>
    <row r="6" spans="1:73" ht="15">
      <c r="A6" s="61" t="s">
        <v>224</v>
      </c>
      <c r="B6" s="61" t="s">
        <v>224</v>
      </c>
      <c r="C6" s="62" t="s">
        <v>11652</v>
      </c>
      <c r="D6" s="63">
        <v>3</v>
      </c>
      <c r="E6" s="64" t="s">
        <v>132</v>
      </c>
      <c r="F6" s="65">
        <v>32</v>
      </c>
      <c r="G6" s="62"/>
      <c r="H6" s="66"/>
      <c r="I6" s="67"/>
      <c r="J6" s="67"/>
      <c r="K6" s="31" t="s">
        <v>65</v>
      </c>
      <c r="L6" s="75">
        <v>6</v>
      </c>
      <c r="M6" s="75"/>
      <c r="N6" s="69"/>
      <c r="O6" s="77" t="s">
        <v>438</v>
      </c>
      <c r="P6" s="79">
        <v>45317.80732638889</v>
      </c>
      <c r="Q6" s="77" t="s">
        <v>443</v>
      </c>
      <c r="R6" s="77">
        <v>0</v>
      </c>
      <c r="S6" s="77">
        <v>15</v>
      </c>
      <c r="T6" s="77">
        <v>0</v>
      </c>
      <c r="U6" s="77">
        <v>0</v>
      </c>
      <c r="V6" s="77">
        <v>829</v>
      </c>
      <c r="W6" s="81" t="s">
        <v>582</v>
      </c>
      <c r="X6" s="77"/>
      <c r="Y6" s="77"/>
      <c r="Z6" s="77"/>
      <c r="AA6" s="77"/>
      <c r="AB6" s="77"/>
      <c r="AC6" s="81" t="s">
        <v>675</v>
      </c>
      <c r="AD6" s="77" t="s">
        <v>686</v>
      </c>
      <c r="AE6" s="83" t="str">
        <f>HYPERLINK("https://twitter.com/phuocerman/status/1750962446632952121")</f>
        <v>https://twitter.com/phuocerman/status/1750962446632952121</v>
      </c>
      <c r="AF6" s="79">
        <v>45317.80732638889</v>
      </c>
      <c r="AG6" s="85">
        <v>45317</v>
      </c>
      <c r="AH6" s="81" t="s">
        <v>688</v>
      </c>
      <c r="AI6" s="77"/>
      <c r="AJ6" s="77"/>
      <c r="AK6" s="77"/>
      <c r="AL6" s="77"/>
      <c r="AM6" s="77"/>
      <c r="AN6" s="77"/>
      <c r="AO6" s="77"/>
      <c r="AP6" s="77"/>
      <c r="AQ6" s="77"/>
      <c r="AR6" s="77"/>
      <c r="AS6" s="77"/>
      <c r="AT6" s="77"/>
      <c r="AU6" s="77"/>
      <c r="AV6" s="83" t="str">
        <f>HYPERLINK("https://pbs.twimg.com/profile_images/1614771517572943873/1w3x1ejV_normal.jpg")</f>
        <v>https://pbs.twimg.com/profile_images/1614771517572943873/1w3x1ejV_normal.jpg</v>
      </c>
      <c r="AW6" s="81" t="s">
        <v>941</v>
      </c>
      <c r="AX6" s="81" t="s">
        <v>1082</v>
      </c>
      <c r="AY6" s="81" t="s">
        <v>1146</v>
      </c>
      <c r="AZ6" s="81" t="s">
        <v>1082</v>
      </c>
      <c r="BA6" s="81" t="s">
        <v>1210</v>
      </c>
      <c r="BB6" s="81" t="s">
        <v>1210</v>
      </c>
      <c r="BC6" s="81" t="s">
        <v>1082</v>
      </c>
      <c r="BD6" s="77">
        <v>1391199295</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v>3</v>
      </c>
      <c r="BN6" s="46">
        <v>6.122448979591836</v>
      </c>
      <c r="BO6" s="45">
        <v>2</v>
      </c>
      <c r="BP6" s="46">
        <v>4.081632653061225</v>
      </c>
      <c r="BQ6" s="45">
        <v>0</v>
      </c>
      <c r="BR6" s="46">
        <v>0</v>
      </c>
      <c r="BS6" s="45">
        <v>19</v>
      </c>
      <c r="BT6" s="46">
        <v>38.775510204081634</v>
      </c>
      <c r="BU6" s="45">
        <v>49</v>
      </c>
    </row>
    <row r="7" spans="1:73" ht="15">
      <c r="A7" s="61" t="s">
        <v>225</v>
      </c>
      <c r="B7" s="61" t="s">
        <v>342</v>
      </c>
      <c r="C7" s="62" t="s">
        <v>11652</v>
      </c>
      <c r="D7" s="63">
        <v>3</v>
      </c>
      <c r="E7" s="64" t="s">
        <v>132</v>
      </c>
      <c r="F7" s="65">
        <v>32</v>
      </c>
      <c r="G7" s="62"/>
      <c r="H7" s="66"/>
      <c r="I7" s="67"/>
      <c r="J7" s="67"/>
      <c r="K7" s="31" t="s">
        <v>65</v>
      </c>
      <c r="L7" s="75">
        <v>7</v>
      </c>
      <c r="M7" s="75"/>
      <c r="N7" s="69"/>
      <c r="O7" s="77" t="s">
        <v>437</v>
      </c>
      <c r="P7" s="79">
        <v>45313.779502314814</v>
      </c>
      <c r="Q7" s="77" t="s">
        <v>444</v>
      </c>
      <c r="R7" s="77">
        <v>0</v>
      </c>
      <c r="S7" s="77">
        <v>0</v>
      </c>
      <c r="T7" s="77">
        <v>1</v>
      </c>
      <c r="U7" s="77">
        <v>0</v>
      </c>
      <c r="V7" s="77">
        <v>38</v>
      </c>
      <c r="W7" s="77"/>
      <c r="X7" s="77"/>
      <c r="Y7" s="77"/>
      <c r="Z7" s="77" t="s">
        <v>622</v>
      </c>
      <c r="AA7" s="77"/>
      <c r="AB7" s="77"/>
      <c r="AC7" s="81" t="s">
        <v>674</v>
      </c>
      <c r="AD7" s="77" t="s">
        <v>686</v>
      </c>
      <c r="AE7" s="83" t="str">
        <f>HYPERLINK("https://twitter.com/kibongerawlins/status/1749502813778882575")</f>
        <v>https://twitter.com/kibongerawlins/status/1749502813778882575</v>
      </c>
      <c r="AF7" s="79">
        <v>45313.779502314814</v>
      </c>
      <c r="AG7" s="85">
        <v>45313</v>
      </c>
      <c r="AH7" s="81" t="s">
        <v>689</v>
      </c>
      <c r="AI7" s="77"/>
      <c r="AJ7" s="77"/>
      <c r="AK7" s="77"/>
      <c r="AL7" s="77"/>
      <c r="AM7" s="77"/>
      <c r="AN7" s="77"/>
      <c r="AO7" s="77"/>
      <c r="AP7" s="77"/>
      <c r="AQ7" s="77"/>
      <c r="AR7" s="77"/>
      <c r="AS7" s="77"/>
      <c r="AT7" s="77"/>
      <c r="AU7" s="77"/>
      <c r="AV7" s="83" t="str">
        <f>HYPERLINK("https://pbs.twimg.com/profile_images/1410598537373442062/N1DQR-ZW_normal.jpg")</f>
        <v>https://pbs.twimg.com/profile_images/1410598537373442062/N1DQR-ZW_normal.jpg</v>
      </c>
      <c r="AW7" s="81" t="s">
        <v>942</v>
      </c>
      <c r="AX7" s="81" t="s">
        <v>1083</v>
      </c>
      <c r="AY7" s="81" t="s">
        <v>1147</v>
      </c>
      <c r="AZ7" s="81" t="s">
        <v>1208</v>
      </c>
      <c r="BA7" s="81" t="s">
        <v>1210</v>
      </c>
      <c r="BB7" s="81" t="s">
        <v>1210</v>
      </c>
      <c r="BC7" s="81" t="s">
        <v>1208</v>
      </c>
      <c r="BD7" s="81" t="s">
        <v>1236</v>
      </c>
      <c r="BE7" s="77"/>
      <c r="BF7" s="77"/>
      <c r="BG7" s="77"/>
      <c r="BH7" s="77"/>
      <c r="BI7" s="77"/>
      <c r="BJ7">
        <v>1</v>
      </c>
      <c r="BK7" s="76" t="str">
        <f>REPLACE(INDEX(GroupVertices[Group],MATCH("~"&amp;Edges[[#This Row],[Vertex 1]],GroupVertices[Vertex],0)),1,1,"")</f>
        <v>6</v>
      </c>
      <c r="BL7" s="76" t="str">
        <f>REPLACE(INDEX(GroupVertices[Group],MATCH("~"&amp;Edges[[#This Row],[Vertex 2]],GroupVertices[Vertex],0)),1,1,"")</f>
        <v>6</v>
      </c>
      <c r="BM7" s="45"/>
      <c r="BN7" s="46"/>
      <c r="BO7" s="45"/>
      <c r="BP7" s="46"/>
      <c r="BQ7" s="45"/>
      <c r="BR7" s="46"/>
      <c r="BS7" s="45"/>
      <c r="BT7" s="46"/>
      <c r="BU7" s="45"/>
    </row>
    <row r="8" spans="1:73" ht="15">
      <c r="A8" s="61" t="s">
        <v>225</v>
      </c>
      <c r="B8" s="61" t="s">
        <v>343</v>
      </c>
      <c r="C8" s="62" t="s">
        <v>11652</v>
      </c>
      <c r="D8" s="63">
        <v>3</v>
      </c>
      <c r="E8" s="64" t="s">
        <v>132</v>
      </c>
      <c r="F8" s="65">
        <v>32</v>
      </c>
      <c r="G8" s="62"/>
      <c r="H8" s="66"/>
      <c r="I8" s="67"/>
      <c r="J8" s="67"/>
      <c r="K8" s="31" t="s">
        <v>65</v>
      </c>
      <c r="L8" s="75">
        <v>8</v>
      </c>
      <c r="M8" s="75"/>
      <c r="N8" s="69"/>
      <c r="O8" s="77" t="s">
        <v>437</v>
      </c>
      <c r="P8" s="79">
        <v>45313.779502314814</v>
      </c>
      <c r="Q8" s="77" t="s">
        <v>444</v>
      </c>
      <c r="R8" s="77">
        <v>0</v>
      </c>
      <c r="S8" s="77">
        <v>0</v>
      </c>
      <c r="T8" s="77">
        <v>1</v>
      </c>
      <c r="U8" s="77">
        <v>0</v>
      </c>
      <c r="V8" s="77">
        <v>38</v>
      </c>
      <c r="W8" s="77"/>
      <c r="X8" s="77"/>
      <c r="Y8" s="77"/>
      <c r="Z8" s="77" t="s">
        <v>622</v>
      </c>
      <c r="AA8" s="77"/>
      <c r="AB8" s="77"/>
      <c r="AC8" s="81" t="s">
        <v>674</v>
      </c>
      <c r="AD8" s="77" t="s">
        <v>686</v>
      </c>
      <c r="AE8" s="83" t="str">
        <f>HYPERLINK("https://twitter.com/kibongerawlins/status/1749502813778882575")</f>
        <v>https://twitter.com/kibongerawlins/status/1749502813778882575</v>
      </c>
      <c r="AF8" s="79">
        <v>45313.779502314814</v>
      </c>
      <c r="AG8" s="85">
        <v>45313</v>
      </c>
      <c r="AH8" s="81" t="s">
        <v>689</v>
      </c>
      <c r="AI8" s="77"/>
      <c r="AJ8" s="77"/>
      <c r="AK8" s="77"/>
      <c r="AL8" s="77"/>
      <c r="AM8" s="77"/>
      <c r="AN8" s="77"/>
      <c r="AO8" s="77"/>
      <c r="AP8" s="77"/>
      <c r="AQ8" s="77"/>
      <c r="AR8" s="77"/>
      <c r="AS8" s="77"/>
      <c r="AT8" s="77"/>
      <c r="AU8" s="77"/>
      <c r="AV8" s="83" t="str">
        <f>HYPERLINK("https://pbs.twimg.com/profile_images/1410598537373442062/N1DQR-ZW_normal.jpg")</f>
        <v>https://pbs.twimg.com/profile_images/1410598537373442062/N1DQR-ZW_normal.jpg</v>
      </c>
      <c r="AW8" s="81" t="s">
        <v>942</v>
      </c>
      <c r="AX8" s="81" t="s">
        <v>1083</v>
      </c>
      <c r="AY8" s="81" t="s">
        <v>1147</v>
      </c>
      <c r="AZ8" s="81" t="s">
        <v>1208</v>
      </c>
      <c r="BA8" s="81" t="s">
        <v>1210</v>
      </c>
      <c r="BB8" s="81" t="s">
        <v>1210</v>
      </c>
      <c r="BC8" s="81" t="s">
        <v>1208</v>
      </c>
      <c r="BD8" s="81" t="s">
        <v>1236</v>
      </c>
      <c r="BE8" s="77"/>
      <c r="BF8" s="77"/>
      <c r="BG8" s="77"/>
      <c r="BH8" s="77"/>
      <c r="BI8" s="77"/>
      <c r="BJ8">
        <v>1</v>
      </c>
      <c r="BK8" s="76" t="str">
        <f>REPLACE(INDEX(GroupVertices[Group],MATCH("~"&amp;Edges[[#This Row],[Vertex 1]],GroupVertices[Vertex],0)),1,1,"")</f>
        <v>6</v>
      </c>
      <c r="BL8" s="76" t="str">
        <f>REPLACE(INDEX(GroupVertices[Group],MATCH("~"&amp;Edges[[#This Row],[Vertex 2]],GroupVertices[Vertex],0)),1,1,"")</f>
        <v>6</v>
      </c>
      <c r="BM8" s="45"/>
      <c r="BN8" s="46"/>
      <c r="BO8" s="45"/>
      <c r="BP8" s="46"/>
      <c r="BQ8" s="45"/>
      <c r="BR8" s="46"/>
      <c r="BS8" s="45"/>
      <c r="BT8" s="46"/>
      <c r="BU8" s="45"/>
    </row>
    <row r="9" spans="1:73" ht="15">
      <c r="A9" s="61" t="s">
        <v>225</v>
      </c>
      <c r="B9" s="61" t="s">
        <v>344</v>
      </c>
      <c r="C9" s="62" t="s">
        <v>11652</v>
      </c>
      <c r="D9" s="63">
        <v>3</v>
      </c>
      <c r="E9" s="64" t="s">
        <v>132</v>
      </c>
      <c r="F9" s="65">
        <v>32</v>
      </c>
      <c r="G9" s="62"/>
      <c r="H9" s="66"/>
      <c r="I9" s="67"/>
      <c r="J9" s="67"/>
      <c r="K9" s="31" t="s">
        <v>65</v>
      </c>
      <c r="L9" s="75">
        <v>9</v>
      </c>
      <c r="M9" s="75"/>
      <c r="N9" s="69"/>
      <c r="O9" s="77" t="s">
        <v>437</v>
      </c>
      <c r="P9" s="79">
        <v>45313.779502314814</v>
      </c>
      <c r="Q9" s="77" t="s">
        <v>444</v>
      </c>
      <c r="R9" s="77">
        <v>0</v>
      </c>
      <c r="S9" s="77">
        <v>0</v>
      </c>
      <c r="T9" s="77">
        <v>1</v>
      </c>
      <c r="U9" s="77">
        <v>0</v>
      </c>
      <c r="V9" s="77">
        <v>38</v>
      </c>
      <c r="W9" s="77"/>
      <c r="X9" s="77"/>
      <c r="Y9" s="77"/>
      <c r="Z9" s="77" t="s">
        <v>622</v>
      </c>
      <c r="AA9" s="77"/>
      <c r="AB9" s="77"/>
      <c r="AC9" s="81" t="s">
        <v>674</v>
      </c>
      <c r="AD9" s="77" t="s">
        <v>686</v>
      </c>
      <c r="AE9" s="83" t="str">
        <f>HYPERLINK("https://twitter.com/kibongerawlins/status/1749502813778882575")</f>
        <v>https://twitter.com/kibongerawlins/status/1749502813778882575</v>
      </c>
      <c r="AF9" s="79">
        <v>45313.779502314814</v>
      </c>
      <c r="AG9" s="85">
        <v>45313</v>
      </c>
      <c r="AH9" s="81" t="s">
        <v>689</v>
      </c>
      <c r="AI9" s="77"/>
      <c r="AJ9" s="77"/>
      <c r="AK9" s="77"/>
      <c r="AL9" s="77"/>
      <c r="AM9" s="77"/>
      <c r="AN9" s="77"/>
      <c r="AO9" s="77"/>
      <c r="AP9" s="77"/>
      <c r="AQ9" s="77"/>
      <c r="AR9" s="77"/>
      <c r="AS9" s="77"/>
      <c r="AT9" s="77"/>
      <c r="AU9" s="77"/>
      <c r="AV9" s="83" t="str">
        <f>HYPERLINK("https://pbs.twimg.com/profile_images/1410598537373442062/N1DQR-ZW_normal.jpg")</f>
        <v>https://pbs.twimg.com/profile_images/1410598537373442062/N1DQR-ZW_normal.jpg</v>
      </c>
      <c r="AW9" s="81" t="s">
        <v>942</v>
      </c>
      <c r="AX9" s="81" t="s">
        <v>1083</v>
      </c>
      <c r="AY9" s="81" t="s">
        <v>1147</v>
      </c>
      <c r="AZ9" s="81" t="s">
        <v>1208</v>
      </c>
      <c r="BA9" s="81" t="s">
        <v>1210</v>
      </c>
      <c r="BB9" s="81" t="s">
        <v>1210</v>
      </c>
      <c r="BC9" s="81" t="s">
        <v>1208</v>
      </c>
      <c r="BD9" s="81" t="s">
        <v>1236</v>
      </c>
      <c r="BE9" s="77"/>
      <c r="BF9" s="77"/>
      <c r="BG9" s="77"/>
      <c r="BH9" s="77"/>
      <c r="BI9" s="77"/>
      <c r="BJ9">
        <v>1</v>
      </c>
      <c r="BK9" s="76" t="str">
        <f>REPLACE(INDEX(GroupVertices[Group],MATCH("~"&amp;Edges[[#This Row],[Vertex 1]],GroupVertices[Vertex],0)),1,1,"")</f>
        <v>6</v>
      </c>
      <c r="BL9" s="76" t="str">
        <f>REPLACE(INDEX(GroupVertices[Group],MATCH("~"&amp;Edges[[#This Row],[Vertex 2]],GroupVertices[Vertex],0)),1,1,"")</f>
        <v>6</v>
      </c>
      <c r="BM9" s="45"/>
      <c r="BN9" s="46"/>
      <c r="BO9" s="45"/>
      <c r="BP9" s="46"/>
      <c r="BQ9" s="45"/>
      <c r="BR9" s="46"/>
      <c r="BS9" s="45"/>
      <c r="BT9" s="46"/>
      <c r="BU9" s="45"/>
    </row>
    <row r="10" spans="1:73" ht="15">
      <c r="A10" s="61" t="s">
        <v>225</v>
      </c>
      <c r="B10" s="61" t="s">
        <v>345</v>
      </c>
      <c r="C10" s="62" t="s">
        <v>11652</v>
      </c>
      <c r="D10" s="63">
        <v>3</v>
      </c>
      <c r="E10" s="64" t="s">
        <v>132</v>
      </c>
      <c r="F10" s="65">
        <v>32</v>
      </c>
      <c r="G10" s="62"/>
      <c r="H10" s="66"/>
      <c r="I10" s="67"/>
      <c r="J10" s="67"/>
      <c r="K10" s="31" t="s">
        <v>65</v>
      </c>
      <c r="L10" s="75">
        <v>10</v>
      </c>
      <c r="M10" s="75"/>
      <c r="N10" s="69"/>
      <c r="O10" s="77" t="s">
        <v>437</v>
      </c>
      <c r="P10" s="79">
        <v>45313.779502314814</v>
      </c>
      <c r="Q10" s="77" t="s">
        <v>444</v>
      </c>
      <c r="R10" s="77">
        <v>0</v>
      </c>
      <c r="S10" s="77">
        <v>0</v>
      </c>
      <c r="T10" s="77">
        <v>1</v>
      </c>
      <c r="U10" s="77">
        <v>0</v>
      </c>
      <c r="V10" s="77">
        <v>38</v>
      </c>
      <c r="W10" s="77"/>
      <c r="X10" s="77"/>
      <c r="Y10" s="77"/>
      <c r="Z10" s="77" t="s">
        <v>622</v>
      </c>
      <c r="AA10" s="77"/>
      <c r="AB10" s="77"/>
      <c r="AC10" s="81" t="s">
        <v>674</v>
      </c>
      <c r="AD10" s="77" t="s">
        <v>686</v>
      </c>
      <c r="AE10" s="83" t="str">
        <f>HYPERLINK("https://twitter.com/kibongerawlins/status/1749502813778882575")</f>
        <v>https://twitter.com/kibongerawlins/status/1749502813778882575</v>
      </c>
      <c r="AF10" s="79">
        <v>45313.779502314814</v>
      </c>
      <c r="AG10" s="85">
        <v>45313</v>
      </c>
      <c r="AH10" s="81" t="s">
        <v>689</v>
      </c>
      <c r="AI10" s="77"/>
      <c r="AJ10" s="77"/>
      <c r="AK10" s="77"/>
      <c r="AL10" s="77"/>
      <c r="AM10" s="77"/>
      <c r="AN10" s="77"/>
      <c r="AO10" s="77"/>
      <c r="AP10" s="77"/>
      <c r="AQ10" s="77"/>
      <c r="AR10" s="77"/>
      <c r="AS10" s="77"/>
      <c r="AT10" s="77"/>
      <c r="AU10" s="77"/>
      <c r="AV10" s="83" t="str">
        <f>HYPERLINK("https://pbs.twimg.com/profile_images/1410598537373442062/N1DQR-ZW_normal.jpg")</f>
        <v>https://pbs.twimg.com/profile_images/1410598537373442062/N1DQR-ZW_normal.jpg</v>
      </c>
      <c r="AW10" s="81" t="s">
        <v>942</v>
      </c>
      <c r="AX10" s="81" t="s">
        <v>1083</v>
      </c>
      <c r="AY10" s="81" t="s">
        <v>1147</v>
      </c>
      <c r="AZ10" s="81" t="s">
        <v>1208</v>
      </c>
      <c r="BA10" s="81" t="s">
        <v>1210</v>
      </c>
      <c r="BB10" s="81" t="s">
        <v>1210</v>
      </c>
      <c r="BC10" s="81" t="s">
        <v>1208</v>
      </c>
      <c r="BD10" s="81" t="s">
        <v>1236</v>
      </c>
      <c r="BE10" s="77"/>
      <c r="BF10" s="77"/>
      <c r="BG10" s="77"/>
      <c r="BH10" s="77"/>
      <c r="BI10" s="77"/>
      <c r="BJ10">
        <v>1</v>
      </c>
      <c r="BK10" s="76" t="str">
        <f>REPLACE(INDEX(GroupVertices[Group],MATCH("~"&amp;Edges[[#This Row],[Vertex 1]],GroupVertices[Vertex],0)),1,1,"")</f>
        <v>6</v>
      </c>
      <c r="BL10" s="76" t="str">
        <f>REPLACE(INDEX(GroupVertices[Group],MATCH("~"&amp;Edges[[#This Row],[Vertex 2]],GroupVertices[Vertex],0)),1,1,"")</f>
        <v>6</v>
      </c>
      <c r="BM10" s="45"/>
      <c r="BN10" s="46"/>
      <c r="BO10" s="45"/>
      <c r="BP10" s="46"/>
      <c r="BQ10" s="45"/>
      <c r="BR10" s="46"/>
      <c r="BS10" s="45"/>
      <c r="BT10" s="46"/>
      <c r="BU10" s="45"/>
    </row>
    <row r="11" spans="1:73" ht="15">
      <c r="A11" s="61" t="s">
        <v>225</v>
      </c>
      <c r="B11" s="61" t="s">
        <v>346</v>
      </c>
      <c r="C11" s="62" t="s">
        <v>11652</v>
      </c>
      <c r="D11" s="63">
        <v>3</v>
      </c>
      <c r="E11" s="64" t="s">
        <v>132</v>
      </c>
      <c r="F11" s="65">
        <v>32</v>
      </c>
      <c r="G11" s="62"/>
      <c r="H11" s="66"/>
      <c r="I11" s="67"/>
      <c r="J11" s="67"/>
      <c r="K11" s="31" t="s">
        <v>65</v>
      </c>
      <c r="L11" s="75">
        <v>11</v>
      </c>
      <c r="M11" s="75"/>
      <c r="N11" s="69"/>
      <c r="O11" s="77" t="s">
        <v>438</v>
      </c>
      <c r="P11" s="79">
        <v>45313.779502314814</v>
      </c>
      <c r="Q11" s="77" t="s">
        <v>444</v>
      </c>
      <c r="R11" s="77">
        <v>0</v>
      </c>
      <c r="S11" s="77">
        <v>0</v>
      </c>
      <c r="T11" s="77">
        <v>1</v>
      </c>
      <c r="U11" s="77">
        <v>0</v>
      </c>
      <c r="V11" s="77">
        <v>38</v>
      </c>
      <c r="W11" s="77"/>
      <c r="X11" s="77"/>
      <c r="Y11" s="77"/>
      <c r="Z11" s="77" t="s">
        <v>622</v>
      </c>
      <c r="AA11" s="77"/>
      <c r="AB11" s="77"/>
      <c r="AC11" s="81" t="s">
        <v>674</v>
      </c>
      <c r="AD11" s="77" t="s">
        <v>686</v>
      </c>
      <c r="AE11" s="83" t="str">
        <f>HYPERLINK("https://twitter.com/kibongerawlins/status/1749502813778882575")</f>
        <v>https://twitter.com/kibongerawlins/status/1749502813778882575</v>
      </c>
      <c r="AF11" s="79">
        <v>45313.779502314814</v>
      </c>
      <c r="AG11" s="85">
        <v>45313</v>
      </c>
      <c r="AH11" s="81" t="s">
        <v>689</v>
      </c>
      <c r="AI11" s="77"/>
      <c r="AJ11" s="77"/>
      <c r="AK11" s="77"/>
      <c r="AL11" s="77"/>
      <c r="AM11" s="77"/>
      <c r="AN11" s="77"/>
      <c r="AO11" s="77"/>
      <c r="AP11" s="77"/>
      <c r="AQ11" s="77"/>
      <c r="AR11" s="77"/>
      <c r="AS11" s="77"/>
      <c r="AT11" s="77"/>
      <c r="AU11" s="77"/>
      <c r="AV11" s="83" t="str">
        <f>HYPERLINK("https://pbs.twimg.com/profile_images/1410598537373442062/N1DQR-ZW_normal.jpg")</f>
        <v>https://pbs.twimg.com/profile_images/1410598537373442062/N1DQR-ZW_normal.jpg</v>
      </c>
      <c r="AW11" s="81" t="s">
        <v>942</v>
      </c>
      <c r="AX11" s="81" t="s">
        <v>1083</v>
      </c>
      <c r="AY11" s="81" t="s">
        <v>1147</v>
      </c>
      <c r="AZ11" s="81" t="s">
        <v>1208</v>
      </c>
      <c r="BA11" s="81" t="s">
        <v>1210</v>
      </c>
      <c r="BB11" s="81" t="s">
        <v>1210</v>
      </c>
      <c r="BC11" s="81" t="s">
        <v>1208</v>
      </c>
      <c r="BD11" s="81" t="s">
        <v>1236</v>
      </c>
      <c r="BE11" s="77"/>
      <c r="BF11" s="77"/>
      <c r="BG11" s="77"/>
      <c r="BH11" s="77"/>
      <c r="BI11" s="77"/>
      <c r="BJ11">
        <v>1</v>
      </c>
      <c r="BK11" s="76" t="str">
        <f>REPLACE(INDEX(GroupVertices[Group],MATCH("~"&amp;Edges[[#This Row],[Vertex 1]],GroupVertices[Vertex],0)),1,1,"")</f>
        <v>6</v>
      </c>
      <c r="BL11" s="76" t="str">
        <f>REPLACE(INDEX(GroupVertices[Group],MATCH("~"&amp;Edges[[#This Row],[Vertex 2]],GroupVertices[Vertex],0)),1,1,"")</f>
        <v>6</v>
      </c>
      <c r="BM11" s="45">
        <v>0</v>
      </c>
      <c r="BN11" s="46">
        <v>0</v>
      </c>
      <c r="BO11" s="45">
        <v>4</v>
      </c>
      <c r="BP11" s="46">
        <v>11.764705882352942</v>
      </c>
      <c r="BQ11" s="45">
        <v>1</v>
      </c>
      <c r="BR11" s="46">
        <v>2.9411764705882355</v>
      </c>
      <c r="BS11" s="45">
        <v>19</v>
      </c>
      <c r="BT11" s="46">
        <v>55.88235294117647</v>
      </c>
      <c r="BU11" s="45">
        <v>34</v>
      </c>
    </row>
    <row r="12" spans="1:73" ht="15">
      <c r="A12" s="61" t="s">
        <v>226</v>
      </c>
      <c r="B12" s="61" t="s">
        <v>304</v>
      </c>
      <c r="C12" s="62" t="s">
        <v>11652</v>
      </c>
      <c r="D12" s="63">
        <v>3</v>
      </c>
      <c r="E12" s="64" t="s">
        <v>132</v>
      </c>
      <c r="F12" s="65">
        <v>32</v>
      </c>
      <c r="G12" s="62"/>
      <c r="H12" s="66"/>
      <c r="I12" s="67"/>
      <c r="J12" s="67"/>
      <c r="K12" s="31" t="s">
        <v>65</v>
      </c>
      <c r="L12" s="75">
        <v>12</v>
      </c>
      <c r="M12" s="75"/>
      <c r="N12" s="69"/>
      <c r="O12" s="77" t="s">
        <v>438</v>
      </c>
      <c r="P12" s="79">
        <v>45319.86059027778</v>
      </c>
      <c r="Q12" s="77" t="s">
        <v>445</v>
      </c>
      <c r="R12" s="77">
        <v>0</v>
      </c>
      <c r="S12" s="77">
        <v>3</v>
      </c>
      <c r="T12" s="77">
        <v>0</v>
      </c>
      <c r="U12" s="77">
        <v>0</v>
      </c>
      <c r="V12" s="77">
        <v>14</v>
      </c>
      <c r="W12" s="77"/>
      <c r="X12" s="77"/>
      <c r="Y12" s="77"/>
      <c r="Z12" s="77" t="s">
        <v>304</v>
      </c>
      <c r="AA12" s="77"/>
      <c r="AB12" s="77"/>
      <c r="AC12" s="81" t="s">
        <v>674</v>
      </c>
      <c r="AD12" s="77" t="s">
        <v>686</v>
      </c>
      <c r="AE12" s="83" t="str">
        <f>HYPERLINK("https://twitter.com/cmpaugh/status/1751706524765069614")</f>
        <v>https://twitter.com/cmpaugh/status/1751706524765069614</v>
      </c>
      <c r="AF12" s="79">
        <v>45319.86059027778</v>
      </c>
      <c r="AG12" s="85">
        <v>45319</v>
      </c>
      <c r="AH12" s="81" t="s">
        <v>690</v>
      </c>
      <c r="AI12" s="77"/>
      <c r="AJ12" s="77"/>
      <c r="AK12" s="77"/>
      <c r="AL12" s="77"/>
      <c r="AM12" s="77"/>
      <c r="AN12" s="77"/>
      <c r="AO12" s="77"/>
      <c r="AP12" s="77"/>
      <c r="AQ12" s="77"/>
      <c r="AR12" s="77"/>
      <c r="AS12" s="77"/>
      <c r="AT12" s="77"/>
      <c r="AU12" s="77"/>
      <c r="AV12" s="83" t="str">
        <f>HYPERLINK("https://pbs.twimg.com/profile_images/1692720763089170432/Vvzvw93K_normal.jpg")</f>
        <v>https://pbs.twimg.com/profile_images/1692720763089170432/Vvzvw93K_normal.jpg</v>
      </c>
      <c r="AW12" s="81" t="s">
        <v>943</v>
      </c>
      <c r="AX12" s="81" t="s">
        <v>1029</v>
      </c>
      <c r="AY12" s="81" t="s">
        <v>1148</v>
      </c>
      <c r="AZ12" s="81" t="s">
        <v>1029</v>
      </c>
      <c r="BA12" s="81" t="s">
        <v>1210</v>
      </c>
      <c r="BB12" s="81" t="s">
        <v>1210</v>
      </c>
      <c r="BC12" s="81" t="s">
        <v>1029</v>
      </c>
      <c r="BD12" s="77">
        <v>17674946</v>
      </c>
      <c r="BE12" s="77"/>
      <c r="BF12" s="77"/>
      <c r="BG12" s="77"/>
      <c r="BH12" s="77"/>
      <c r="BI12" s="77"/>
      <c r="BJ12">
        <v>1</v>
      </c>
      <c r="BK12" s="76" t="str">
        <f>REPLACE(INDEX(GroupVertices[Group],MATCH("~"&amp;Edges[[#This Row],[Vertex 1]],GroupVertices[Vertex],0)),1,1,"")</f>
        <v>2</v>
      </c>
      <c r="BL12" s="76" t="str">
        <f>REPLACE(INDEX(GroupVertices[Group],MATCH("~"&amp;Edges[[#This Row],[Vertex 2]],GroupVertices[Vertex],0)),1,1,"")</f>
        <v>2</v>
      </c>
      <c r="BM12" s="45">
        <v>1</v>
      </c>
      <c r="BN12" s="46">
        <v>4.166666666666667</v>
      </c>
      <c r="BO12" s="45">
        <v>2</v>
      </c>
      <c r="BP12" s="46">
        <v>8.333333333333334</v>
      </c>
      <c r="BQ12" s="45">
        <v>0</v>
      </c>
      <c r="BR12" s="46">
        <v>0</v>
      </c>
      <c r="BS12" s="45">
        <v>11</v>
      </c>
      <c r="BT12" s="46">
        <v>45.833333333333336</v>
      </c>
      <c r="BU12" s="45">
        <v>24</v>
      </c>
    </row>
    <row r="13" spans="1:73" ht="15">
      <c r="A13" s="61" t="s">
        <v>227</v>
      </c>
      <c r="B13" s="61" t="s">
        <v>347</v>
      </c>
      <c r="C13" s="62" t="s">
        <v>11652</v>
      </c>
      <c r="D13" s="63">
        <v>3</v>
      </c>
      <c r="E13" s="64" t="s">
        <v>132</v>
      </c>
      <c r="F13" s="65">
        <v>32</v>
      </c>
      <c r="G13" s="62"/>
      <c r="H13" s="66"/>
      <c r="I13" s="67"/>
      <c r="J13" s="67"/>
      <c r="K13" s="31" t="s">
        <v>65</v>
      </c>
      <c r="L13" s="75">
        <v>13</v>
      </c>
      <c r="M13" s="75"/>
      <c r="N13" s="69"/>
      <c r="O13" s="77" t="s">
        <v>437</v>
      </c>
      <c r="P13" s="79">
        <v>45294.65290509259</v>
      </c>
      <c r="Q13" s="77" t="s">
        <v>446</v>
      </c>
      <c r="R13" s="77">
        <v>3</v>
      </c>
      <c r="S13" s="77">
        <v>11</v>
      </c>
      <c r="T13" s="77">
        <v>3</v>
      </c>
      <c r="U13" s="77">
        <v>0</v>
      </c>
      <c r="V13" s="77">
        <v>1547</v>
      </c>
      <c r="W13" s="77"/>
      <c r="X13" s="77"/>
      <c r="Y13" s="77"/>
      <c r="Z13" s="77" t="s">
        <v>623</v>
      </c>
      <c r="AA13" s="77"/>
      <c r="AB13" s="77"/>
      <c r="AC13" s="81" t="s">
        <v>674</v>
      </c>
      <c r="AD13" s="77" t="s">
        <v>686</v>
      </c>
      <c r="AE13" s="83" t="str">
        <f>HYPERLINK("https://twitter.com/byronstine/status/1742571564724564246")</f>
        <v>https://twitter.com/byronstine/status/1742571564724564246</v>
      </c>
      <c r="AF13" s="79">
        <v>45294.65290509259</v>
      </c>
      <c r="AG13" s="85">
        <v>45294</v>
      </c>
      <c r="AH13" s="81" t="s">
        <v>691</v>
      </c>
      <c r="AI13" s="77"/>
      <c r="AJ13" s="77" t="s">
        <v>828</v>
      </c>
      <c r="AK13" s="77" t="s">
        <v>849</v>
      </c>
      <c r="AL13" s="77" t="s">
        <v>850</v>
      </c>
      <c r="AM13" s="77" t="s">
        <v>852</v>
      </c>
      <c r="AN13" s="77" t="s">
        <v>874</v>
      </c>
      <c r="AO13" s="77" t="s">
        <v>896</v>
      </c>
      <c r="AP13" s="77" t="s">
        <v>917</v>
      </c>
      <c r="AQ13" s="77"/>
      <c r="AR13" s="77"/>
      <c r="AS13" s="77"/>
      <c r="AT13" s="77"/>
      <c r="AU13" s="77"/>
      <c r="AV13" s="83" t="str">
        <f>HYPERLINK("https://pbs.twimg.com/profile_images/1451946612788383755/nXpcsSb4_normal.png")</f>
        <v>https://pbs.twimg.com/profile_images/1451946612788383755/nXpcsSb4_normal.png</v>
      </c>
      <c r="AW13" s="81" t="s">
        <v>944</v>
      </c>
      <c r="AX13" s="81" t="s">
        <v>1084</v>
      </c>
      <c r="AY13" s="81" t="s">
        <v>1149</v>
      </c>
      <c r="AZ13" s="81" t="s">
        <v>1209</v>
      </c>
      <c r="BA13" s="81" t="s">
        <v>1210</v>
      </c>
      <c r="BB13" s="81" t="s">
        <v>1210</v>
      </c>
      <c r="BC13" s="81" t="s">
        <v>1209</v>
      </c>
      <c r="BD13" s="81" t="s">
        <v>1237</v>
      </c>
      <c r="BE13" s="77"/>
      <c r="BF13" s="77"/>
      <c r="BG13" s="77"/>
      <c r="BH13" s="77"/>
      <c r="BI13" s="77"/>
      <c r="BJ13">
        <v>1</v>
      </c>
      <c r="BK13" s="76" t="str">
        <f>REPLACE(INDEX(GroupVertices[Group],MATCH("~"&amp;Edges[[#This Row],[Vertex 1]],GroupVertices[Vertex],0)),1,1,"")</f>
        <v>22</v>
      </c>
      <c r="BL13" s="76" t="str">
        <f>REPLACE(INDEX(GroupVertices[Group],MATCH("~"&amp;Edges[[#This Row],[Vertex 2]],GroupVertices[Vertex],0)),1,1,"")</f>
        <v>22</v>
      </c>
      <c r="BM13" s="45"/>
      <c r="BN13" s="46"/>
      <c r="BO13" s="45"/>
      <c r="BP13" s="46"/>
      <c r="BQ13" s="45"/>
      <c r="BR13" s="46"/>
      <c r="BS13" s="45"/>
      <c r="BT13" s="46"/>
      <c r="BU13" s="45"/>
    </row>
    <row r="14" spans="1:73" ht="15">
      <c r="A14" s="61" t="s">
        <v>227</v>
      </c>
      <c r="B14" s="61" t="s">
        <v>348</v>
      </c>
      <c r="C14" s="62" t="s">
        <v>11652</v>
      </c>
      <c r="D14" s="63">
        <v>3</v>
      </c>
      <c r="E14" s="64" t="s">
        <v>132</v>
      </c>
      <c r="F14" s="65">
        <v>32</v>
      </c>
      <c r="G14" s="62"/>
      <c r="H14" s="66"/>
      <c r="I14" s="67"/>
      <c r="J14" s="67"/>
      <c r="K14" s="31" t="s">
        <v>65</v>
      </c>
      <c r="L14" s="75">
        <v>14</v>
      </c>
      <c r="M14" s="75"/>
      <c r="N14" s="69"/>
      <c r="O14" s="77" t="s">
        <v>438</v>
      </c>
      <c r="P14" s="79">
        <v>45294.65290509259</v>
      </c>
      <c r="Q14" s="77" t="s">
        <v>446</v>
      </c>
      <c r="R14" s="77">
        <v>3</v>
      </c>
      <c r="S14" s="77">
        <v>11</v>
      </c>
      <c r="T14" s="77">
        <v>3</v>
      </c>
      <c r="U14" s="77">
        <v>0</v>
      </c>
      <c r="V14" s="77">
        <v>1547</v>
      </c>
      <c r="W14" s="77"/>
      <c r="X14" s="77"/>
      <c r="Y14" s="77"/>
      <c r="Z14" s="77" t="s">
        <v>623</v>
      </c>
      <c r="AA14" s="77"/>
      <c r="AB14" s="77"/>
      <c r="AC14" s="81" t="s">
        <v>674</v>
      </c>
      <c r="AD14" s="77" t="s">
        <v>686</v>
      </c>
      <c r="AE14" s="83" t="str">
        <f>HYPERLINK("https://twitter.com/byronstine/status/1742571564724564246")</f>
        <v>https://twitter.com/byronstine/status/1742571564724564246</v>
      </c>
      <c r="AF14" s="79">
        <v>45294.65290509259</v>
      </c>
      <c r="AG14" s="85">
        <v>45294</v>
      </c>
      <c r="AH14" s="81" t="s">
        <v>691</v>
      </c>
      <c r="AI14" s="77"/>
      <c r="AJ14" s="77" t="s">
        <v>828</v>
      </c>
      <c r="AK14" s="77" t="s">
        <v>849</v>
      </c>
      <c r="AL14" s="77" t="s">
        <v>850</v>
      </c>
      <c r="AM14" s="77" t="s">
        <v>852</v>
      </c>
      <c r="AN14" s="77" t="s">
        <v>874</v>
      </c>
      <c r="AO14" s="77" t="s">
        <v>896</v>
      </c>
      <c r="AP14" s="77" t="s">
        <v>917</v>
      </c>
      <c r="AQ14" s="77"/>
      <c r="AR14" s="77"/>
      <c r="AS14" s="77"/>
      <c r="AT14" s="77"/>
      <c r="AU14" s="77"/>
      <c r="AV14" s="83" t="str">
        <f>HYPERLINK("https://pbs.twimg.com/profile_images/1451946612788383755/nXpcsSb4_normal.png")</f>
        <v>https://pbs.twimg.com/profile_images/1451946612788383755/nXpcsSb4_normal.png</v>
      </c>
      <c r="AW14" s="81" t="s">
        <v>944</v>
      </c>
      <c r="AX14" s="81" t="s">
        <v>1084</v>
      </c>
      <c r="AY14" s="81" t="s">
        <v>1149</v>
      </c>
      <c r="AZ14" s="81" t="s">
        <v>1209</v>
      </c>
      <c r="BA14" s="81" t="s">
        <v>1210</v>
      </c>
      <c r="BB14" s="81" t="s">
        <v>1210</v>
      </c>
      <c r="BC14" s="81" t="s">
        <v>1209</v>
      </c>
      <c r="BD14" s="81" t="s">
        <v>1237</v>
      </c>
      <c r="BE14" s="77"/>
      <c r="BF14" s="77"/>
      <c r="BG14" s="77"/>
      <c r="BH14" s="77"/>
      <c r="BI14" s="77"/>
      <c r="BJ14">
        <v>1</v>
      </c>
      <c r="BK14" s="76" t="str">
        <f>REPLACE(INDEX(GroupVertices[Group],MATCH("~"&amp;Edges[[#This Row],[Vertex 1]],GroupVertices[Vertex],0)),1,1,"")</f>
        <v>22</v>
      </c>
      <c r="BL14" s="76" t="str">
        <f>REPLACE(INDEX(GroupVertices[Group],MATCH("~"&amp;Edges[[#This Row],[Vertex 2]],GroupVertices[Vertex],0)),1,1,"")</f>
        <v>22</v>
      </c>
      <c r="BM14" s="45">
        <v>0</v>
      </c>
      <c r="BN14" s="46">
        <v>0</v>
      </c>
      <c r="BO14" s="45">
        <v>2</v>
      </c>
      <c r="BP14" s="46">
        <v>3.6363636363636362</v>
      </c>
      <c r="BQ14" s="45">
        <v>0</v>
      </c>
      <c r="BR14" s="46">
        <v>0</v>
      </c>
      <c r="BS14" s="45">
        <v>24</v>
      </c>
      <c r="BT14" s="46">
        <v>43.63636363636363</v>
      </c>
      <c r="BU14" s="45">
        <v>55</v>
      </c>
    </row>
    <row r="15" spans="1:73" ht="15">
      <c r="A15" s="61" t="s">
        <v>228</v>
      </c>
      <c r="B15" s="61" t="s">
        <v>349</v>
      </c>
      <c r="C15" s="62" t="s">
        <v>11652</v>
      </c>
      <c r="D15" s="63">
        <v>3</v>
      </c>
      <c r="E15" s="64" t="s">
        <v>132</v>
      </c>
      <c r="F15" s="65">
        <v>32</v>
      </c>
      <c r="G15" s="62"/>
      <c r="H15" s="66"/>
      <c r="I15" s="67"/>
      <c r="J15" s="67"/>
      <c r="K15" s="31" t="s">
        <v>65</v>
      </c>
      <c r="L15" s="75">
        <v>15</v>
      </c>
      <c r="M15" s="75"/>
      <c r="N15" s="69"/>
      <c r="O15" s="77" t="s">
        <v>438</v>
      </c>
      <c r="P15" s="79">
        <v>45314.17297453704</v>
      </c>
      <c r="Q15" s="77" t="s">
        <v>447</v>
      </c>
      <c r="R15" s="77">
        <v>0</v>
      </c>
      <c r="S15" s="77">
        <v>1</v>
      </c>
      <c r="T15" s="77">
        <v>0</v>
      </c>
      <c r="U15" s="77">
        <v>0</v>
      </c>
      <c r="V15" s="77">
        <v>39</v>
      </c>
      <c r="W15" s="77"/>
      <c r="X15" s="77"/>
      <c r="Y15" s="77"/>
      <c r="Z15" s="77" t="s">
        <v>349</v>
      </c>
      <c r="AA15" s="77"/>
      <c r="AB15" s="77"/>
      <c r="AC15" s="81" t="s">
        <v>675</v>
      </c>
      <c r="AD15" s="77" t="s">
        <v>686</v>
      </c>
      <c r="AE15" s="83" t="str">
        <f>HYPERLINK("https://twitter.com/missbeccabenz/status/1749645401077276721")</f>
        <v>https://twitter.com/missbeccabenz/status/1749645401077276721</v>
      </c>
      <c r="AF15" s="79">
        <v>45314.17297453704</v>
      </c>
      <c r="AG15" s="85">
        <v>45314</v>
      </c>
      <c r="AH15" s="81" t="s">
        <v>692</v>
      </c>
      <c r="AI15" s="77"/>
      <c r="AJ15" s="77"/>
      <c r="AK15" s="77"/>
      <c r="AL15" s="77"/>
      <c r="AM15" s="77"/>
      <c r="AN15" s="77"/>
      <c r="AO15" s="77"/>
      <c r="AP15" s="77"/>
      <c r="AQ15" s="77"/>
      <c r="AR15" s="77"/>
      <c r="AS15" s="77"/>
      <c r="AT15" s="77"/>
      <c r="AU15" s="77"/>
      <c r="AV15" s="83" t="str">
        <f>HYPERLINK("https://pbs.twimg.com/profile_images/839986484648194048/DVzAdvFW_normal.jpg")</f>
        <v>https://pbs.twimg.com/profile_images/839986484648194048/DVzAdvFW_normal.jpg</v>
      </c>
      <c r="AW15" s="81" t="s">
        <v>945</v>
      </c>
      <c r="AX15" s="81" t="s">
        <v>1085</v>
      </c>
      <c r="AY15" s="81" t="s">
        <v>1150</v>
      </c>
      <c r="AZ15" s="81" t="s">
        <v>1085</v>
      </c>
      <c r="BA15" s="81" t="s">
        <v>1210</v>
      </c>
      <c r="BB15" s="81" t="s">
        <v>1210</v>
      </c>
      <c r="BC15" s="81" t="s">
        <v>1085</v>
      </c>
      <c r="BD15" s="77">
        <v>2786420790</v>
      </c>
      <c r="BE15" s="77"/>
      <c r="BF15" s="77"/>
      <c r="BG15" s="77"/>
      <c r="BH15" s="77"/>
      <c r="BI15" s="77"/>
      <c r="BJ15">
        <v>1</v>
      </c>
      <c r="BK15" s="76" t="str">
        <f>REPLACE(INDEX(GroupVertices[Group],MATCH("~"&amp;Edges[[#This Row],[Vertex 1]],GroupVertices[Vertex],0)),1,1,"")</f>
        <v>63</v>
      </c>
      <c r="BL15" s="76" t="str">
        <f>REPLACE(INDEX(GroupVertices[Group],MATCH("~"&amp;Edges[[#This Row],[Vertex 2]],GroupVertices[Vertex],0)),1,1,"")</f>
        <v>63</v>
      </c>
      <c r="BM15" s="45">
        <v>0</v>
      </c>
      <c r="BN15" s="46">
        <v>0</v>
      </c>
      <c r="BO15" s="45">
        <v>4</v>
      </c>
      <c r="BP15" s="46">
        <v>7.8431372549019605</v>
      </c>
      <c r="BQ15" s="45">
        <v>0</v>
      </c>
      <c r="BR15" s="46">
        <v>0</v>
      </c>
      <c r="BS15" s="45">
        <v>22</v>
      </c>
      <c r="BT15" s="46">
        <v>43.13725490196079</v>
      </c>
      <c r="BU15" s="45">
        <v>51</v>
      </c>
    </row>
    <row r="16" spans="1:73" ht="15">
      <c r="A16" s="61" t="s">
        <v>229</v>
      </c>
      <c r="B16" s="61" t="s">
        <v>229</v>
      </c>
      <c r="C16" s="62" t="s">
        <v>1410</v>
      </c>
      <c r="D16" s="63">
        <v>10</v>
      </c>
      <c r="E16" s="64" t="s">
        <v>132</v>
      </c>
      <c r="F16" s="65">
        <v>10</v>
      </c>
      <c r="G16" s="62"/>
      <c r="H16" s="66"/>
      <c r="I16" s="67"/>
      <c r="J16" s="67"/>
      <c r="K16" s="31" t="s">
        <v>65</v>
      </c>
      <c r="L16" s="75">
        <v>16</v>
      </c>
      <c r="M16" s="75"/>
      <c r="N16" s="69"/>
      <c r="O16" s="77" t="s">
        <v>178</v>
      </c>
      <c r="P16" s="79">
        <v>45313.65094907407</v>
      </c>
      <c r="Q16" s="77" t="s">
        <v>448</v>
      </c>
      <c r="R16" s="77">
        <v>0</v>
      </c>
      <c r="S16" s="77">
        <v>0</v>
      </c>
      <c r="T16" s="77">
        <v>0</v>
      </c>
      <c r="U16" s="77">
        <v>0</v>
      </c>
      <c r="V16" s="77">
        <v>3</v>
      </c>
      <c r="W16" s="77"/>
      <c r="X16" s="83" t="str">
        <f>HYPERLINK("https://apnews.com/article/israel-hamas-war-news-01-21-2024-02caafa092668ecc7ff122229c166807")</f>
        <v>https://apnews.com/article/israel-hamas-war-news-01-21-2024-02caafa092668ecc7ff122229c166807</v>
      </c>
      <c r="Y16" s="77" t="s">
        <v>598</v>
      </c>
      <c r="Z16" s="77"/>
      <c r="AA16" s="77"/>
      <c r="AB16" s="77"/>
      <c r="AC16" s="81" t="s">
        <v>676</v>
      </c>
      <c r="AD16" s="77" t="s">
        <v>686</v>
      </c>
      <c r="AE16" s="83" t="str">
        <f>HYPERLINK("https://twitter.com/progressglobe/status/1749456226981695887")</f>
        <v>https://twitter.com/progressglobe/status/1749456226981695887</v>
      </c>
      <c r="AF16" s="79">
        <v>45313.65094907407</v>
      </c>
      <c r="AG16" s="85">
        <v>45313</v>
      </c>
      <c r="AH16" s="81" t="s">
        <v>693</v>
      </c>
      <c r="AI16" s="77" t="b">
        <v>0</v>
      </c>
      <c r="AJ16" s="77"/>
      <c r="AK16" s="77"/>
      <c r="AL16" s="77"/>
      <c r="AM16" s="77"/>
      <c r="AN16" s="77"/>
      <c r="AO16" s="77"/>
      <c r="AP16" s="77"/>
      <c r="AQ16" s="77"/>
      <c r="AR16" s="77"/>
      <c r="AS16" s="77"/>
      <c r="AT16" s="77"/>
      <c r="AU16" s="77"/>
      <c r="AV16" s="83" t="str">
        <f>HYPERLINK("https://pbs.twimg.com/profile_images/1028322881057382400/YNyPYg4b_normal.jpg")</f>
        <v>https://pbs.twimg.com/profile_images/1028322881057382400/YNyPYg4b_normal.jpg</v>
      </c>
      <c r="AW16" s="81" t="s">
        <v>946</v>
      </c>
      <c r="AX16" s="81" t="s">
        <v>946</v>
      </c>
      <c r="AY16" s="77"/>
      <c r="AZ16" s="81" t="s">
        <v>1210</v>
      </c>
      <c r="BA16" s="81" t="s">
        <v>1210</v>
      </c>
      <c r="BB16" s="81" t="s">
        <v>1210</v>
      </c>
      <c r="BC16" s="81" t="s">
        <v>946</v>
      </c>
      <c r="BD16" s="77">
        <v>705314388</v>
      </c>
      <c r="BE16" s="77"/>
      <c r="BF16" s="77"/>
      <c r="BG16" s="77"/>
      <c r="BH16" s="77"/>
      <c r="BI16" s="77"/>
      <c r="BJ16">
        <v>2</v>
      </c>
      <c r="BK16" s="76" t="str">
        <f>REPLACE(INDEX(GroupVertices[Group],MATCH("~"&amp;Edges[[#This Row],[Vertex 1]],GroupVertices[Vertex],0)),1,1,"")</f>
        <v>1</v>
      </c>
      <c r="BL16" s="76" t="str">
        <f>REPLACE(INDEX(GroupVertices[Group],MATCH("~"&amp;Edges[[#This Row],[Vertex 2]],GroupVertices[Vertex],0)),1,1,"")</f>
        <v>1</v>
      </c>
      <c r="BM16" s="45">
        <v>0</v>
      </c>
      <c r="BN16" s="46">
        <v>0</v>
      </c>
      <c r="BO16" s="45">
        <v>4</v>
      </c>
      <c r="BP16" s="46">
        <v>25</v>
      </c>
      <c r="BQ16" s="45">
        <v>0</v>
      </c>
      <c r="BR16" s="46">
        <v>0</v>
      </c>
      <c r="BS16" s="45">
        <v>8</v>
      </c>
      <c r="BT16" s="46">
        <v>50</v>
      </c>
      <c r="BU16" s="45">
        <v>16</v>
      </c>
    </row>
    <row r="17" spans="1:73" ht="15">
      <c r="A17" s="61" t="s">
        <v>229</v>
      </c>
      <c r="B17" s="61" t="s">
        <v>229</v>
      </c>
      <c r="C17" s="62" t="s">
        <v>1410</v>
      </c>
      <c r="D17" s="63">
        <v>10</v>
      </c>
      <c r="E17" s="64" t="s">
        <v>132</v>
      </c>
      <c r="F17" s="65">
        <v>10</v>
      </c>
      <c r="G17" s="62"/>
      <c r="H17" s="66"/>
      <c r="I17" s="67"/>
      <c r="J17" s="67"/>
      <c r="K17" s="31" t="s">
        <v>65</v>
      </c>
      <c r="L17" s="75">
        <v>17</v>
      </c>
      <c r="M17" s="75"/>
      <c r="N17" s="69"/>
      <c r="O17" s="77" t="s">
        <v>178</v>
      </c>
      <c r="P17" s="79">
        <v>45312.67209490741</v>
      </c>
      <c r="Q17" s="77" t="s">
        <v>449</v>
      </c>
      <c r="R17" s="77">
        <v>0</v>
      </c>
      <c r="S17" s="77">
        <v>0</v>
      </c>
      <c r="T17" s="77">
        <v>0</v>
      </c>
      <c r="U17" s="77">
        <v>0</v>
      </c>
      <c r="V17" s="77">
        <v>1</v>
      </c>
      <c r="W17" s="77"/>
      <c r="X17" s="83" t="str">
        <f>HYPERLINK("https://www.youtube.com/watch?v=oVWDz6HzozI")</f>
        <v>https://www.youtube.com/watch?v=oVWDz6HzozI</v>
      </c>
      <c r="Y17" s="77" t="s">
        <v>599</v>
      </c>
      <c r="Z17" s="77"/>
      <c r="AA17" s="77"/>
      <c r="AB17" s="77"/>
      <c r="AC17" s="81" t="s">
        <v>676</v>
      </c>
      <c r="AD17" s="77" t="s">
        <v>686</v>
      </c>
      <c r="AE17" s="83" t="str">
        <f>HYPERLINK("https://twitter.com/progressglobe/status/1749101501169926482")</f>
        <v>https://twitter.com/progressglobe/status/1749101501169926482</v>
      </c>
      <c r="AF17" s="79">
        <v>45312.67209490741</v>
      </c>
      <c r="AG17" s="85">
        <v>45312</v>
      </c>
      <c r="AH17" s="81" t="s">
        <v>694</v>
      </c>
      <c r="AI17" s="77" t="b">
        <v>0</v>
      </c>
      <c r="AJ17" s="77"/>
      <c r="AK17" s="77"/>
      <c r="AL17" s="77"/>
      <c r="AM17" s="77"/>
      <c r="AN17" s="77"/>
      <c r="AO17" s="77"/>
      <c r="AP17" s="77"/>
      <c r="AQ17" s="77"/>
      <c r="AR17" s="77"/>
      <c r="AS17" s="77"/>
      <c r="AT17" s="77"/>
      <c r="AU17" s="77"/>
      <c r="AV17" s="83" t="str">
        <f>HYPERLINK("https://pbs.twimg.com/profile_images/1028322881057382400/YNyPYg4b_normal.jpg")</f>
        <v>https://pbs.twimg.com/profile_images/1028322881057382400/YNyPYg4b_normal.jpg</v>
      </c>
      <c r="AW17" s="81" t="s">
        <v>947</v>
      </c>
      <c r="AX17" s="81" t="s">
        <v>947</v>
      </c>
      <c r="AY17" s="77"/>
      <c r="AZ17" s="81" t="s">
        <v>1210</v>
      </c>
      <c r="BA17" s="81" t="s">
        <v>1210</v>
      </c>
      <c r="BB17" s="81" t="s">
        <v>1210</v>
      </c>
      <c r="BC17" s="81" t="s">
        <v>947</v>
      </c>
      <c r="BD17" s="77">
        <v>705314388</v>
      </c>
      <c r="BE17" s="77"/>
      <c r="BF17" s="77"/>
      <c r="BG17" s="77"/>
      <c r="BH17" s="77"/>
      <c r="BI17" s="77"/>
      <c r="BJ17">
        <v>2</v>
      </c>
      <c r="BK17" s="76" t="str">
        <f>REPLACE(INDEX(GroupVertices[Group],MATCH("~"&amp;Edges[[#This Row],[Vertex 1]],GroupVertices[Vertex],0)),1,1,"")</f>
        <v>1</v>
      </c>
      <c r="BL17" s="76" t="str">
        <f>REPLACE(INDEX(GroupVertices[Group],MATCH("~"&amp;Edges[[#This Row],[Vertex 2]],GroupVertices[Vertex],0)),1,1,"")</f>
        <v>1</v>
      </c>
      <c r="BM17" s="45">
        <v>0</v>
      </c>
      <c r="BN17" s="46">
        <v>0</v>
      </c>
      <c r="BO17" s="45">
        <v>3</v>
      </c>
      <c r="BP17" s="46">
        <v>25</v>
      </c>
      <c r="BQ17" s="45">
        <v>0</v>
      </c>
      <c r="BR17" s="46">
        <v>0</v>
      </c>
      <c r="BS17" s="45">
        <v>6</v>
      </c>
      <c r="BT17" s="46">
        <v>50</v>
      </c>
      <c r="BU17" s="45">
        <v>12</v>
      </c>
    </row>
    <row r="18" spans="1:73" ht="15">
      <c r="A18" s="61" t="s">
        <v>230</v>
      </c>
      <c r="B18" s="61" t="s">
        <v>328</v>
      </c>
      <c r="C18" s="62" t="s">
        <v>11652</v>
      </c>
      <c r="D18" s="63">
        <v>3</v>
      </c>
      <c r="E18" s="64" t="s">
        <v>132</v>
      </c>
      <c r="F18" s="65">
        <v>32</v>
      </c>
      <c r="G18" s="62"/>
      <c r="H18" s="66"/>
      <c r="I18" s="67"/>
      <c r="J18" s="67"/>
      <c r="K18" s="31" t="s">
        <v>65</v>
      </c>
      <c r="L18" s="75">
        <v>18</v>
      </c>
      <c r="M18" s="75"/>
      <c r="N18" s="69"/>
      <c r="O18" s="77" t="s">
        <v>439</v>
      </c>
      <c r="P18" s="79">
        <v>45293.982777777775</v>
      </c>
      <c r="Q18" s="77" t="s">
        <v>450</v>
      </c>
      <c r="R18" s="77">
        <v>0</v>
      </c>
      <c r="S18" s="77">
        <v>0</v>
      </c>
      <c r="T18" s="77">
        <v>0</v>
      </c>
      <c r="U18" s="77">
        <v>0</v>
      </c>
      <c r="V18" s="77">
        <v>167</v>
      </c>
      <c r="W18" s="77"/>
      <c r="X18" s="77"/>
      <c r="Y18" s="77"/>
      <c r="Z18" s="77"/>
      <c r="AA18" s="77"/>
      <c r="AB18" s="77"/>
      <c r="AC18" s="81" t="s">
        <v>674</v>
      </c>
      <c r="AD18" s="77" t="s">
        <v>686</v>
      </c>
      <c r="AE18" s="83" t="str">
        <f>HYPERLINK("https://twitter.com/2a_allday/status/1742328720814453040")</f>
        <v>https://twitter.com/2a_allday/status/1742328720814453040</v>
      </c>
      <c r="AF18" s="79">
        <v>45293.982777777775</v>
      </c>
      <c r="AG18" s="85">
        <v>45293</v>
      </c>
      <c r="AH18" s="81" t="s">
        <v>695</v>
      </c>
      <c r="AI18" s="77"/>
      <c r="AJ18" s="77" t="s">
        <v>828</v>
      </c>
      <c r="AK18" s="77" t="s">
        <v>849</v>
      </c>
      <c r="AL18" s="77" t="s">
        <v>850</v>
      </c>
      <c r="AM18" s="77" t="s">
        <v>852</v>
      </c>
      <c r="AN18" s="77" t="s">
        <v>874</v>
      </c>
      <c r="AO18" s="77" t="s">
        <v>896</v>
      </c>
      <c r="AP18" s="77" t="s">
        <v>917</v>
      </c>
      <c r="AQ18" s="77"/>
      <c r="AR18" s="77"/>
      <c r="AS18" s="77"/>
      <c r="AT18" s="77"/>
      <c r="AU18" s="77"/>
      <c r="AV18" s="83" t="str">
        <f>HYPERLINK("https://pbs.twimg.com/profile_images/1446504810732085251/PYMrQ9Hh_normal.jpg")</f>
        <v>https://pbs.twimg.com/profile_images/1446504810732085251/PYMrQ9Hh_normal.jpg</v>
      </c>
      <c r="AW18" s="81" t="s">
        <v>948</v>
      </c>
      <c r="AX18" s="81" t="s">
        <v>948</v>
      </c>
      <c r="AY18" s="77"/>
      <c r="AZ18" s="81" t="s">
        <v>1210</v>
      </c>
      <c r="BA18" s="81" t="s">
        <v>1068</v>
      </c>
      <c r="BB18" s="81" t="s">
        <v>1210</v>
      </c>
      <c r="BC18" s="81" t="s">
        <v>1068</v>
      </c>
      <c r="BD18" s="81" t="s">
        <v>1238</v>
      </c>
      <c r="BE18" s="77"/>
      <c r="BF18" s="77"/>
      <c r="BG18" s="77"/>
      <c r="BH18" s="77"/>
      <c r="BI18" s="77"/>
      <c r="BJ18">
        <v>1</v>
      </c>
      <c r="BK18" s="76" t="str">
        <f>REPLACE(INDEX(GroupVertices[Group],MATCH("~"&amp;Edges[[#This Row],[Vertex 1]],GroupVertices[Vertex],0)),1,1,"")</f>
        <v>11</v>
      </c>
      <c r="BL18" s="76" t="str">
        <f>REPLACE(INDEX(GroupVertices[Group],MATCH("~"&amp;Edges[[#This Row],[Vertex 2]],GroupVertices[Vertex],0)),1,1,"")</f>
        <v>11</v>
      </c>
      <c r="BM18" s="45">
        <v>1</v>
      </c>
      <c r="BN18" s="46">
        <v>3.4482758620689653</v>
      </c>
      <c r="BO18" s="45">
        <v>4</v>
      </c>
      <c r="BP18" s="46">
        <v>13.793103448275861</v>
      </c>
      <c r="BQ18" s="45">
        <v>0</v>
      </c>
      <c r="BR18" s="46">
        <v>0</v>
      </c>
      <c r="BS18" s="45">
        <v>11</v>
      </c>
      <c r="BT18" s="46">
        <v>37.93103448275862</v>
      </c>
      <c r="BU18" s="45">
        <v>29</v>
      </c>
    </row>
    <row r="19" spans="1:73" ht="15">
      <c r="A19" s="61" t="s">
        <v>231</v>
      </c>
      <c r="B19" s="61" t="s">
        <v>231</v>
      </c>
      <c r="C19" s="62" t="s">
        <v>11652</v>
      </c>
      <c r="D19" s="63">
        <v>3</v>
      </c>
      <c r="E19" s="64" t="s">
        <v>132</v>
      </c>
      <c r="F19" s="65">
        <v>32</v>
      </c>
      <c r="G19" s="62"/>
      <c r="H19" s="66"/>
      <c r="I19" s="67"/>
      <c r="J19" s="67"/>
      <c r="K19" s="31" t="s">
        <v>65</v>
      </c>
      <c r="L19" s="75">
        <v>19</v>
      </c>
      <c r="M19" s="75"/>
      <c r="N19" s="69"/>
      <c r="O19" s="77" t="s">
        <v>178</v>
      </c>
      <c r="P19" s="79">
        <v>45072.77542824074</v>
      </c>
      <c r="Q19" s="77" t="s">
        <v>451</v>
      </c>
      <c r="R19" s="77">
        <v>0</v>
      </c>
      <c r="S19" s="77">
        <v>1</v>
      </c>
      <c r="T19" s="77">
        <v>1</v>
      </c>
      <c r="U19" s="77">
        <v>0</v>
      </c>
      <c r="V19" s="77">
        <v>87</v>
      </c>
      <c r="W19" s="81" t="s">
        <v>583</v>
      </c>
      <c r="X19" s="77"/>
      <c r="Y19" s="77"/>
      <c r="Z19" s="77"/>
      <c r="AA19" s="77" t="s">
        <v>648</v>
      </c>
      <c r="AB19" s="77" t="s">
        <v>670</v>
      </c>
      <c r="AC19" s="81" t="s">
        <v>674</v>
      </c>
      <c r="AD19" s="77" t="s">
        <v>686</v>
      </c>
      <c r="AE19" s="83" t="str">
        <f>HYPERLINK("https://twitter.com/larssonrealtor/status/1662165862126878722")</f>
        <v>https://twitter.com/larssonrealtor/status/1662165862126878722</v>
      </c>
      <c r="AF19" s="79">
        <v>45072.77542824074</v>
      </c>
      <c r="AG19" s="85">
        <v>45072</v>
      </c>
      <c r="AH19" s="81" t="s">
        <v>696</v>
      </c>
      <c r="AI19" s="77" t="b">
        <v>0</v>
      </c>
      <c r="AJ19" s="77" t="s">
        <v>829</v>
      </c>
      <c r="AK19" s="77" t="s">
        <v>849</v>
      </c>
      <c r="AL19" s="77" t="s">
        <v>850</v>
      </c>
      <c r="AM19" s="77" t="s">
        <v>853</v>
      </c>
      <c r="AN19" s="77" t="s">
        <v>875</v>
      </c>
      <c r="AO19" s="77" t="s">
        <v>897</v>
      </c>
      <c r="AP19" s="77" t="s">
        <v>917</v>
      </c>
      <c r="AQ19" s="77" t="s">
        <v>919</v>
      </c>
      <c r="AR19" s="77"/>
      <c r="AS19" s="77"/>
      <c r="AT19" s="77"/>
      <c r="AU19" s="77"/>
      <c r="AV19" s="83" t="str">
        <f>HYPERLINK("https://pbs.twimg.com/tweet_video_thumb/FxEzCaTaMAAGsFb.jpg")</f>
        <v>https://pbs.twimg.com/tweet_video_thumb/FxEzCaTaMAAGsFb.jpg</v>
      </c>
      <c r="AW19" s="81" t="s">
        <v>949</v>
      </c>
      <c r="AX19" s="81" t="s">
        <v>949</v>
      </c>
      <c r="AY19" s="77"/>
      <c r="AZ19" s="81" t="s">
        <v>1210</v>
      </c>
      <c r="BA19" s="81" t="s">
        <v>1210</v>
      </c>
      <c r="BB19" s="81" t="s">
        <v>1210</v>
      </c>
      <c r="BC19" s="81" t="s">
        <v>949</v>
      </c>
      <c r="BD19" s="81" t="s">
        <v>1239</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4</v>
      </c>
      <c r="BN19" s="46">
        <v>9.090909090909092</v>
      </c>
      <c r="BO19" s="45">
        <v>1</v>
      </c>
      <c r="BP19" s="46">
        <v>2.272727272727273</v>
      </c>
      <c r="BQ19" s="45">
        <v>0</v>
      </c>
      <c r="BR19" s="46">
        <v>0</v>
      </c>
      <c r="BS19" s="45">
        <v>23</v>
      </c>
      <c r="BT19" s="46">
        <v>52.27272727272727</v>
      </c>
      <c r="BU19" s="45">
        <v>44</v>
      </c>
    </row>
    <row r="20" spans="1:73" ht="15">
      <c r="A20" s="61" t="s">
        <v>232</v>
      </c>
      <c r="B20" s="61" t="s">
        <v>350</v>
      </c>
      <c r="C20" s="62" t="s">
        <v>11652</v>
      </c>
      <c r="D20" s="63">
        <v>3</v>
      </c>
      <c r="E20" s="64" t="s">
        <v>132</v>
      </c>
      <c r="F20" s="65">
        <v>32</v>
      </c>
      <c r="G20" s="62"/>
      <c r="H20" s="66"/>
      <c r="I20" s="67"/>
      <c r="J20" s="67"/>
      <c r="K20" s="31" t="s">
        <v>65</v>
      </c>
      <c r="L20" s="75">
        <v>20</v>
      </c>
      <c r="M20" s="75"/>
      <c r="N20" s="69"/>
      <c r="O20" s="77" t="s">
        <v>438</v>
      </c>
      <c r="P20" s="79">
        <v>45318.77832175926</v>
      </c>
      <c r="Q20" s="77" t="s">
        <v>452</v>
      </c>
      <c r="R20" s="77">
        <v>0</v>
      </c>
      <c r="S20" s="77">
        <v>3</v>
      </c>
      <c r="T20" s="77">
        <v>2</v>
      </c>
      <c r="U20" s="77">
        <v>0</v>
      </c>
      <c r="V20" s="77">
        <v>131</v>
      </c>
      <c r="W20" s="77"/>
      <c r="X20" s="77"/>
      <c r="Y20" s="77"/>
      <c r="Z20" s="77" t="s">
        <v>350</v>
      </c>
      <c r="AA20" s="77"/>
      <c r="AB20" s="77"/>
      <c r="AC20" s="81" t="s">
        <v>675</v>
      </c>
      <c r="AD20" s="77" t="s">
        <v>686</v>
      </c>
      <c r="AE20" s="83" t="str">
        <f>HYPERLINK("https://twitter.com/tradedebater/status/1751314325946634441")</f>
        <v>https://twitter.com/tradedebater/status/1751314325946634441</v>
      </c>
      <c r="AF20" s="79">
        <v>45318.77832175926</v>
      </c>
      <c r="AG20" s="85">
        <v>45318</v>
      </c>
      <c r="AH20" s="81" t="s">
        <v>697</v>
      </c>
      <c r="AI20" s="77"/>
      <c r="AJ20" s="77"/>
      <c r="AK20" s="77"/>
      <c r="AL20" s="77"/>
      <c r="AM20" s="77"/>
      <c r="AN20" s="77"/>
      <c r="AO20" s="77"/>
      <c r="AP20" s="77"/>
      <c r="AQ20" s="77"/>
      <c r="AR20" s="77"/>
      <c r="AS20" s="77"/>
      <c r="AT20" s="77"/>
      <c r="AU20" s="77"/>
      <c r="AV20" s="83" t="str">
        <f>HYPERLINK("https://pbs.twimg.com/profile_images/1493693239005745157/wGhfG2bM_normal.jpg")</f>
        <v>https://pbs.twimg.com/profile_images/1493693239005745157/wGhfG2bM_normal.jpg</v>
      </c>
      <c r="AW20" s="81" t="s">
        <v>950</v>
      </c>
      <c r="AX20" s="81" t="s">
        <v>1086</v>
      </c>
      <c r="AY20" s="81" t="s">
        <v>1151</v>
      </c>
      <c r="AZ20" s="81" t="s">
        <v>1086</v>
      </c>
      <c r="BA20" s="81" t="s">
        <v>1210</v>
      </c>
      <c r="BB20" s="81" t="s">
        <v>1210</v>
      </c>
      <c r="BC20" s="81" t="s">
        <v>1086</v>
      </c>
      <c r="BD20" s="81" t="s">
        <v>1240</v>
      </c>
      <c r="BE20" s="77"/>
      <c r="BF20" s="77"/>
      <c r="BG20" s="77"/>
      <c r="BH20" s="77"/>
      <c r="BI20" s="77"/>
      <c r="BJ20">
        <v>1</v>
      </c>
      <c r="BK20" s="76" t="str">
        <f>REPLACE(INDEX(GroupVertices[Group],MATCH("~"&amp;Edges[[#This Row],[Vertex 1]],GroupVertices[Vertex],0)),1,1,"")</f>
        <v>2</v>
      </c>
      <c r="BL20" s="76" t="str">
        <f>REPLACE(INDEX(GroupVertices[Group],MATCH("~"&amp;Edges[[#This Row],[Vertex 2]],GroupVertices[Vertex],0)),1,1,"")</f>
        <v>2</v>
      </c>
      <c r="BM20" s="45">
        <v>2</v>
      </c>
      <c r="BN20" s="46">
        <v>11.11111111111111</v>
      </c>
      <c r="BO20" s="45">
        <v>1</v>
      </c>
      <c r="BP20" s="46">
        <v>5.555555555555555</v>
      </c>
      <c r="BQ20" s="45">
        <v>0</v>
      </c>
      <c r="BR20" s="46">
        <v>0</v>
      </c>
      <c r="BS20" s="45">
        <v>7</v>
      </c>
      <c r="BT20" s="46">
        <v>38.888888888888886</v>
      </c>
      <c r="BU20" s="45">
        <v>18</v>
      </c>
    </row>
    <row r="21" spans="1:73" ht="15">
      <c r="A21" s="61" t="s">
        <v>233</v>
      </c>
      <c r="B21" s="61" t="s">
        <v>351</v>
      </c>
      <c r="C21" s="62" t="s">
        <v>11652</v>
      </c>
      <c r="D21" s="63">
        <v>3</v>
      </c>
      <c r="E21" s="64" t="s">
        <v>132</v>
      </c>
      <c r="F21" s="65">
        <v>32</v>
      </c>
      <c r="G21" s="62"/>
      <c r="H21" s="66"/>
      <c r="I21" s="67"/>
      <c r="J21" s="67"/>
      <c r="K21" s="31" t="s">
        <v>65</v>
      </c>
      <c r="L21" s="75">
        <v>21</v>
      </c>
      <c r="M21" s="75"/>
      <c r="N21" s="69"/>
      <c r="O21" s="77" t="s">
        <v>437</v>
      </c>
      <c r="P21" s="79">
        <v>45313.72467592593</v>
      </c>
      <c r="Q21" s="77" t="s">
        <v>453</v>
      </c>
      <c r="R21" s="77">
        <v>0</v>
      </c>
      <c r="S21" s="77">
        <v>1</v>
      </c>
      <c r="T21" s="77">
        <v>0</v>
      </c>
      <c r="U21" s="77">
        <v>0</v>
      </c>
      <c r="V21" s="77">
        <v>18</v>
      </c>
      <c r="W21" s="77"/>
      <c r="X21" s="77"/>
      <c r="Y21" s="77"/>
      <c r="Z21" s="77" t="s">
        <v>624</v>
      </c>
      <c r="AA21" s="77"/>
      <c r="AB21" s="77"/>
      <c r="AC21" s="81" t="s">
        <v>675</v>
      </c>
      <c r="AD21" s="77" t="s">
        <v>686</v>
      </c>
      <c r="AE21" s="83" t="str">
        <f>HYPERLINK("https://twitter.com/eclecticradical/status/1749482945491165503")</f>
        <v>https://twitter.com/eclecticradical/status/1749482945491165503</v>
      </c>
      <c r="AF21" s="79">
        <v>45313.72467592593</v>
      </c>
      <c r="AG21" s="85">
        <v>45313</v>
      </c>
      <c r="AH21" s="81" t="s">
        <v>698</v>
      </c>
      <c r="AI21" s="77"/>
      <c r="AJ21" s="77"/>
      <c r="AK21" s="77"/>
      <c r="AL21" s="77"/>
      <c r="AM21" s="77"/>
      <c r="AN21" s="77"/>
      <c r="AO21" s="77"/>
      <c r="AP21" s="77"/>
      <c r="AQ21" s="77"/>
      <c r="AR21" s="77"/>
      <c r="AS21" s="77"/>
      <c r="AT21" s="77"/>
      <c r="AU21" s="77"/>
      <c r="AV21" s="83" t="str">
        <f>HYPERLINK("https://pbs.twimg.com/profile_images/1655048336481878017/aQM2raQ8_normal.jpg")</f>
        <v>https://pbs.twimg.com/profile_images/1655048336481878017/aQM2raQ8_normal.jpg</v>
      </c>
      <c r="AW21" s="81" t="s">
        <v>951</v>
      </c>
      <c r="AX21" s="81" t="s">
        <v>1087</v>
      </c>
      <c r="AY21" s="81" t="s">
        <v>1152</v>
      </c>
      <c r="AZ21" s="81" t="s">
        <v>1211</v>
      </c>
      <c r="BA21" s="81" t="s">
        <v>1210</v>
      </c>
      <c r="BB21" s="81" t="s">
        <v>1210</v>
      </c>
      <c r="BC21" s="81" t="s">
        <v>1211</v>
      </c>
      <c r="BD21" s="81" t="s">
        <v>1241</v>
      </c>
      <c r="BE21" s="77"/>
      <c r="BF21" s="77"/>
      <c r="BG21" s="77"/>
      <c r="BH21" s="77"/>
      <c r="BI21" s="77"/>
      <c r="BJ21">
        <v>1</v>
      </c>
      <c r="BK21" s="76" t="str">
        <f>REPLACE(INDEX(GroupVertices[Group],MATCH("~"&amp;Edges[[#This Row],[Vertex 1]],GroupVertices[Vertex],0)),1,1,"")</f>
        <v>10</v>
      </c>
      <c r="BL21" s="76" t="str">
        <f>REPLACE(INDEX(GroupVertices[Group],MATCH("~"&amp;Edges[[#This Row],[Vertex 2]],GroupVertices[Vertex],0)),1,1,"")</f>
        <v>10</v>
      </c>
      <c r="BM21" s="45"/>
      <c r="BN21" s="46"/>
      <c r="BO21" s="45"/>
      <c r="BP21" s="46"/>
      <c r="BQ21" s="45"/>
      <c r="BR21" s="46"/>
      <c r="BS21" s="45"/>
      <c r="BT21" s="46"/>
      <c r="BU21" s="45"/>
    </row>
    <row r="22" spans="1:73" ht="15">
      <c r="A22" s="61" t="s">
        <v>233</v>
      </c>
      <c r="B22" s="61" t="s">
        <v>352</v>
      </c>
      <c r="C22" s="62" t="s">
        <v>11652</v>
      </c>
      <c r="D22" s="63">
        <v>3</v>
      </c>
      <c r="E22" s="64" t="s">
        <v>132</v>
      </c>
      <c r="F22" s="65">
        <v>32</v>
      </c>
      <c r="G22" s="62"/>
      <c r="H22" s="66"/>
      <c r="I22" s="67"/>
      <c r="J22" s="67"/>
      <c r="K22" s="31" t="s">
        <v>65</v>
      </c>
      <c r="L22" s="75">
        <v>22</v>
      </c>
      <c r="M22" s="75"/>
      <c r="N22" s="69"/>
      <c r="O22" s="77" t="s">
        <v>437</v>
      </c>
      <c r="P22" s="79">
        <v>45313.72467592593</v>
      </c>
      <c r="Q22" s="77" t="s">
        <v>453</v>
      </c>
      <c r="R22" s="77">
        <v>0</v>
      </c>
      <c r="S22" s="77">
        <v>1</v>
      </c>
      <c r="T22" s="77">
        <v>0</v>
      </c>
      <c r="U22" s="77">
        <v>0</v>
      </c>
      <c r="V22" s="77">
        <v>18</v>
      </c>
      <c r="W22" s="77"/>
      <c r="X22" s="77"/>
      <c r="Y22" s="77"/>
      <c r="Z22" s="77" t="s">
        <v>624</v>
      </c>
      <c r="AA22" s="77"/>
      <c r="AB22" s="77"/>
      <c r="AC22" s="81" t="s">
        <v>675</v>
      </c>
      <c r="AD22" s="77" t="s">
        <v>686</v>
      </c>
      <c r="AE22" s="83" t="str">
        <f>HYPERLINK("https://twitter.com/eclecticradical/status/1749482945491165503")</f>
        <v>https://twitter.com/eclecticradical/status/1749482945491165503</v>
      </c>
      <c r="AF22" s="79">
        <v>45313.72467592593</v>
      </c>
      <c r="AG22" s="85">
        <v>45313</v>
      </c>
      <c r="AH22" s="81" t="s">
        <v>698</v>
      </c>
      <c r="AI22" s="77"/>
      <c r="AJ22" s="77"/>
      <c r="AK22" s="77"/>
      <c r="AL22" s="77"/>
      <c r="AM22" s="77"/>
      <c r="AN22" s="77"/>
      <c r="AO22" s="77"/>
      <c r="AP22" s="77"/>
      <c r="AQ22" s="77"/>
      <c r="AR22" s="77"/>
      <c r="AS22" s="77"/>
      <c r="AT22" s="77"/>
      <c r="AU22" s="77"/>
      <c r="AV22" s="83" t="str">
        <f>HYPERLINK("https://pbs.twimg.com/profile_images/1655048336481878017/aQM2raQ8_normal.jpg")</f>
        <v>https://pbs.twimg.com/profile_images/1655048336481878017/aQM2raQ8_normal.jpg</v>
      </c>
      <c r="AW22" s="81" t="s">
        <v>951</v>
      </c>
      <c r="AX22" s="81" t="s">
        <v>1087</v>
      </c>
      <c r="AY22" s="81" t="s">
        <v>1152</v>
      </c>
      <c r="AZ22" s="81" t="s">
        <v>1211</v>
      </c>
      <c r="BA22" s="81" t="s">
        <v>1210</v>
      </c>
      <c r="BB22" s="81" t="s">
        <v>1210</v>
      </c>
      <c r="BC22" s="81" t="s">
        <v>1211</v>
      </c>
      <c r="BD22" s="81" t="s">
        <v>1241</v>
      </c>
      <c r="BE22" s="77"/>
      <c r="BF22" s="77"/>
      <c r="BG22" s="77"/>
      <c r="BH22" s="77"/>
      <c r="BI22" s="77"/>
      <c r="BJ22">
        <v>1</v>
      </c>
      <c r="BK22" s="76" t="str">
        <f>REPLACE(INDEX(GroupVertices[Group],MATCH("~"&amp;Edges[[#This Row],[Vertex 1]],GroupVertices[Vertex],0)),1,1,"")</f>
        <v>10</v>
      </c>
      <c r="BL22" s="76" t="str">
        <f>REPLACE(INDEX(GroupVertices[Group],MATCH("~"&amp;Edges[[#This Row],[Vertex 2]],GroupVertices[Vertex],0)),1,1,"")</f>
        <v>10</v>
      </c>
      <c r="BM22" s="45"/>
      <c r="BN22" s="46"/>
      <c r="BO22" s="45"/>
      <c r="BP22" s="46"/>
      <c r="BQ22" s="45"/>
      <c r="BR22" s="46"/>
      <c r="BS22" s="45"/>
      <c r="BT22" s="46"/>
      <c r="BU22" s="45"/>
    </row>
    <row r="23" spans="1:73" ht="15">
      <c r="A23" s="61" t="s">
        <v>233</v>
      </c>
      <c r="B23" s="61" t="s">
        <v>353</v>
      </c>
      <c r="C23" s="62" t="s">
        <v>11652</v>
      </c>
      <c r="D23" s="63">
        <v>3</v>
      </c>
      <c r="E23" s="64" t="s">
        <v>132</v>
      </c>
      <c r="F23" s="65">
        <v>32</v>
      </c>
      <c r="G23" s="62"/>
      <c r="H23" s="66"/>
      <c r="I23" s="67"/>
      <c r="J23" s="67"/>
      <c r="K23" s="31" t="s">
        <v>65</v>
      </c>
      <c r="L23" s="75">
        <v>23</v>
      </c>
      <c r="M23" s="75"/>
      <c r="N23" s="69"/>
      <c r="O23" s="77" t="s">
        <v>438</v>
      </c>
      <c r="P23" s="79">
        <v>45313.72467592593</v>
      </c>
      <c r="Q23" s="77" t="s">
        <v>453</v>
      </c>
      <c r="R23" s="77">
        <v>0</v>
      </c>
      <c r="S23" s="77">
        <v>1</v>
      </c>
      <c r="T23" s="77">
        <v>0</v>
      </c>
      <c r="U23" s="77">
        <v>0</v>
      </c>
      <c r="V23" s="77">
        <v>18</v>
      </c>
      <c r="W23" s="77"/>
      <c r="X23" s="77"/>
      <c r="Y23" s="77"/>
      <c r="Z23" s="77" t="s">
        <v>624</v>
      </c>
      <c r="AA23" s="77"/>
      <c r="AB23" s="77"/>
      <c r="AC23" s="81" t="s">
        <v>675</v>
      </c>
      <c r="AD23" s="77" t="s">
        <v>686</v>
      </c>
      <c r="AE23" s="83" t="str">
        <f>HYPERLINK("https://twitter.com/eclecticradical/status/1749482945491165503")</f>
        <v>https://twitter.com/eclecticradical/status/1749482945491165503</v>
      </c>
      <c r="AF23" s="79">
        <v>45313.72467592593</v>
      </c>
      <c r="AG23" s="85">
        <v>45313</v>
      </c>
      <c r="AH23" s="81" t="s">
        <v>698</v>
      </c>
      <c r="AI23" s="77"/>
      <c r="AJ23" s="77"/>
      <c r="AK23" s="77"/>
      <c r="AL23" s="77"/>
      <c r="AM23" s="77"/>
      <c r="AN23" s="77"/>
      <c r="AO23" s="77"/>
      <c r="AP23" s="77"/>
      <c r="AQ23" s="77"/>
      <c r="AR23" s="77"/>
      <c r="AS23" s="77"/>
      <c r="AT23" s="77"/>
      <c r="AU23" s="77"/>
      <c r="AV23" s="83" t="str">
        <f>HYPERLINK("https://pbs.twimg.com/profile_images/1655048336481878017/aQM2raQ8_normal.jpg")</f>
        <v>https://pbs.twimg.com/profile_images/1655048336481878017/aQM2raQ8_normal.jpg</v>
      </c>
      <c r="AW23" s="81" t="s">
        <v>951</v>
      </c>
      <c r="AX23" s="81" t="s">
        <v>1087</v>
      </c>
      <c r="AY23" s="81" t="s">
        <v>1152</v>
      </c>
      <c r="AZ23" s="81" t="s">
        <v>1211</v>
      </c>
      <c r="BA23" s="81" t="s">
        <v>1210</v>
      </c>
      <c r="BB23" s="81" t="s">
        <v>1210</v>
      </c>
      <c r="BC23" s="81" t="s">
        <v>1211</v>
      </c>
      <c r="BD23" s="81" t="s">
        <v>1241</v>
      </c>
      <c r="BE23" s="77"/>
      <c r="BF23" s="77"/>
      <c r="BG23" s="77"/>
      <c r="BH23" s="77"/>
      <c r="BI23" s="77"/>
      <c r="BJ23">
        <v>1</v>
      </c>
      <c r="BK23" s="76" t="str">
        <f>REPLACE(INDEX(GroupVertices[Group],MATCH("~"&amp;Edges[[#This Row],[Vertex 1]],GroupVertices[Vertex],0)),1,1,"")</f>
        <v>10</v>
      </c>
      <c r="BL23" s="76" t="str">
        <f>REPLACE(INDEX(GroupVertices[Group],MATCH("~"&amp;Edges[[#This Row],[Vertex 2]],GroupVertices[Vertex],0)),1,1,"")</f>
        <v>10</v>
      </c>
      <c r="BM23" s="45">
        <v>0</v>
      </c>
      <c r="BN23" s="46">
        <v>0</v>
      </c>
      <c r="BO23" s="45">
        <v>2</v>
      </c>
      <c r="BP23" s="46">
        <v>9.523809523809524</v>
      </c>
      <c r="BQ23" s="45">
        <v>0</v>
      </c>
      <c r="BR23" s="46">
        <v>0</v>
      </c>
      <c r="BS23" s="45">
        <v>10</v>
      </c>
      <c r="BT23" s="46">
        <v>47.61904761904762</v>
      </c>
      <c r="BU23" s="45">
        <v>21</v>
      </c>
    </row>
    <row r="24" spans="1:73" ht="15">
      <c r="A24" s="61" t="s">
        <v>234</v>
      </c>
      <c r="B24" s="61" t="s">
        <v>234</v>
      </c>
      <c r="C24" s="62" t="s">
        <v>11652</v>
      </c>
      <c r="D24" s="63">
        <v>3</v>
      </c>
      <c r="E24" s="64" t="s">
        <v>132</v>
      </c>
      <c r="F24" s="65">
        <v>32</v>
      </c>
      <c r="G24" s="62"/>
      <c r="H24" s="66"/>
      <c r="I24" s="67"/>
      <c r="J24" s="67"/>
      <c r="K24" s="31" t="s">
        <v>65</v>
      </c>
      <c r="L24" s="75">
        <v>24</v>
      </c>
      <c r="M24" s="75"/>
      <c r="N24" s="69"/>
      <c r="O24" s="77" t="s">
        <v>178</v>
      </c>
      <c r="P24" s="79">
        <v>45150.34211805555</v>
      </c>
      <c r="Q24" s="77" t="s">
        <v>454</v>
      </c>
      <c r="R24" s="77">
        <v>7</v>
      </c>
      <c r="S24" s="77">
        <v>18</v>
      </c>
      <c r="T24" s="77">
        <v>8</v>
      </c>
      <c r="U24" s="77">
        <v>1</v>
      </c>
      <c r="V24" s="77">
        <v>1434</v>
      </c>
      <c r="W24" s="77"/>
      <c r="X24" s="77"/>
      <c r="Y24" s="77"/>
      <c r="Z24" s="77"/>
      <c r="AA24" s="77" t="s">
        <v>649</v>
      </c>
      <c r="AB24" s="77" t="s">
        <v>671</v>
      </c>
      <c r="AC24" s="81" t="s">
        <v>677</v>
      </c>
      <c r="AD24" s="77" t="s">
        <v>686</v>
      </c>
      <c r="AE24" s="83" t="str">
        <f>HYPERLINK("https://twitter.com/darealgreglopez/status/1690275088648790016")</f>
        <v>https://twitter.com/darealgreglopez/status/1690275088648790016</v>
      </c>
      <c r="AF24" s="79">
        <v>45150.34211805555</v>
      </c>
      <c r="AG24" s="85">
        <v>45150</v>
      </c>
      <c r="AH24" s="81" t="s">
        <v>699</v>
      </c>
      <c r="AI24" s="77" t="b">
        <v>0</v>
      </c>
      <c r="AJ24" s="77" t="s">
        <v>828</v>
      </c>
      <c r="AK24" s="77" t="s">
        <v>849</v>
      </c>
      <c r="AL24" s="77" t="s">
        <v>850</v>
      </c>
      <c r="AM24" s="77" t="s">
        <v>852</v>
      </c>
      <c r="AN24" s="77" t="s">
        <v>874</v>
      </c>
      <c r="AO24" s="77" t="s">
        <v>896</v>
      </c>
      <c r="AP24" s="77" t="s">
        <v>917</v>
      </c>
      <c r="AQ24" s="77" t="s">
        <v>920</v>
      </c>
      <c r="AR24" s="77"/>
      <c r="AS24" s="77"/>
      <c r="AT24" s="77"/>
      <c r="AU24" s="77"/>
      <c r="AV24" s="83" t="str">
        <f>HYPERLINK("https://pbs.twimg.com/media/F3UQO9ub0AAoaRB.jpg")</f>
        <v>https://pbs.twimg.com/media/F3UQO9ub0AAoaRB.jpg</v>
      </c>
      <c r="AW24" s="81" t="s">
        <v>952</v>
      </c>
      <c r="AX24" s="81" t="s">
        <v>952</v>
      </c>
      <c r="AY24" s="77"/>
      <c r="AZ24" s="81" t="s">
        <v>1210</v>
      </c>
      <c r="BA24" s="81" t="s">
        <v>1210</v>
      </c>
      <c r="BB24" s="81" t="s">
        <v>1210</v>
      </c>
      <c r="BC24" s="81" t="s">
        <v>952</v>
      </c>
      <c r="BD24" s="77">
        <v>3789907333</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1</v>
      </c>
      <c r="BN24" s="46">
        <v>2.0408163265306123</v>
      </c>
      <c r="BO24" s="45">
        <v>2</v>
      </c>
      <c r="BP24" s="46">
        <v>4.081632653061225</v>
      </c>
      <c r="BQ24" s="45">
        <v>0</v>
      </c>
      <c r="BR24" s="46">
        <v>0</v>
      </c>
      <c r="BS24" s="45">
        <v>23</v>
      </c>
      <c r="BT24" s="46">
        <v>46.93877551020408</v>
      </c>
      <c r="BU24" s="45">
        <v>49</v>
      </c>
    </row>
    <row r="25" spans="1:73" ht="15">
      <c r="A25" s="61" t="s">
        <v>235</v>
      </c>
      <c r="B25" s="61" t="s">
        <v>235</v>
      </c>
      <c r="C25" s="62" t="s">
        <v>11652</v>
      </c>
      <c r="D25" s="63">
        <v>3</v>
      </c>
      <c r="E25" s="64" t="s">
        <v>132</v>
      </c>
      <c r="F25" s="65">
        <v>32</v>
      </c>
      <c r="G25" s="62"/>
      <c r="H25" s="66"/>
      <c r="I25" s="67"/>
      <c r="J25" s="67"/>
      <c r="K25" s="31" t="s">
        <v>65</v>
      </c>
      <c r="L25" s="75">
        <v>25</v>
      </c>
      <c r="M25" s="75"/>
      <c r="N25" s="69"/>
      <c r="O25" s="77" t="s">
        <v>438</v>
      </c>
      <c r="P25" s="79">
        <v>45143.767060185186</v>
      </c>
      <c r="Q25" s="77" t="s">
        <v>455</v>
      </c>
      <c r="R25" s="77">
        <v>0</v>
      </c>
      <c r="S25" s="77">
        <v>0</v>
      </c>
      <c r="T25" s="77">
        <v>1</v>
      </c>
      <c r="U25" s="77">
        <v>0</v>
      </c>
      <c r="V25" s="77">
        <v>57</v>
      </c>
      <c r="W25" s="77"/>
      <c r="X25" s="77"/>
      <c r="Y25" s="77"/>
      <c r="Z25" s="77"/>
      <c r="AA25" s="77"/>
      <c r="AB25" s="77"/>
      <c r="AC25" s="81" t="s">
        <v>677</v>
      </c>
      <c r="AD25" s="77" t="s">
        <v>686</v>
      </c>
      <c r="AE25" s="83" t="str">
        <f>HYPERLINK("https://twitter.com/aaronpoole85/status/1687892365766533120")</f>
        <v>https://twitter.com/aaronpoole85/status/1687892365766533120</v>
      </c>
      <c r="AF25" s="79">
        <v>45143.767060185186</v>
      </c>
      <c r="AG25" s="85">
        <v>45143</v>
      </c>
      <c r="AH25" s="81" t="s">
        <v>700</v>
      </c>
      <c r="AI25" s="77"/>
      <c r="AJ25" s="77" t="s">
        <v>828</v>
      </c>
      <c r="AK25" s="77" t="s">
        <v>849</v>
      </c>
      <c r="AL25" s="77" t="s">
        <v>850</v>
      </c>
      <c r="AM25" s="77" t="s">
        <v>852</v>
      </c>
      <c r="AN25" s="77" t="s">
        <v>874</v>
      </c>
      <c r="AO25" s="77" t="s">
        <v>896</v>
      </c>
      <c r="AP25" s="77" t="s">
        <v>917</v>
      </c>
      <c r="AQ25" s="77"/>
      <c r="AR25" s="77"/>
      <c r="AS25" s="77"/>
      <c r="AT25" s="77"/>
      <c r="AU25" s="77"/>
      <c r="AV25" s="83" t="str">
        <f>HYPERLINK("https://pbs.twimg.com/profile_images/1436524624452341762/4H28f4yK_normal.jpg")</f>
        <v>https://pbs.twimg.com/profile_images/1436524624452341762/4H28f4yK_normal.jpg</v>
      </c>
      <c r="AW25" s="81" t="s">
        <v>953</v>
      </c>
      <c r="AX25" s="81" t="s">
        <v>1088</v>
      </c>
      <c r="AY25" s="81" t="s">
        <v>1153</v>
      </c>
      <c r="AZ25" s="81" t="s">
        <v>1088</v>
      </c>
      <c r="BA25" s="81" t="s">
        <v>1210</v>
      </c>
      <c r="BB25" s="81" t="s">
        <v>1210</v>
      </c>
      <c r="BC25" s="81" t="s">
        <v>1088</v>
      </c>
      <c r="BD25" s="77">
        <v>1489439804</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1</v>
      </c>
      <c r="BN25" s="46">
        <v>2.0408163265306123</v>
      </c>
      <c r="BO25" s="45">
        <v>3</v>
      </c>
      <c r="BP25" s="46">
        <v>6.122448979591836</v>
      </c>
      <c r="BQ25" s="45">
        <v>0</v>
      </c>
      <c r="BR25" s="46">
        <v>0</v>
      </c>
      <c r="BS25" s="45">
        <v>24</v>
      </c>
      <c r="BT25" s="46">
        <v>48.97959183673469</v>
      </c>
      <c r="BU25" s="45">
        <v>49</v>
      </c>
    </row>
    <row r="26" spans="1:73" ht="15">
      <c r="A26" s="61" t="s">
        <v>236</v>
      </c>
      <c r="B26" s="61" t="s">
        <v>354</v>
      </c>
      <c r="C26" s="62" t="s">
        <v>11652</v>
      </c>
      <c r="D26" s="63">
        <v>3</v>
      </c>
      <c r="E26" s="64" t="s">
        <v>132</v>
      </c>
      <c r="F26" s="65">
        <v>32</v>
      </c>
      <c r="G26" s="62"/>
      <c r="H26" s="66"/>
      <c r="I26" s="67"/>
      <c r="J26" s="67"/>
      <c r="K26" s="31" t="s">
        <v>65</v>
      </c>
      <c r="L26" s="75">
        <v>26</v>
      </c>
      <c r="M26" s="75"/>
      <c r="N26" s="69"/>
      <c r="O26" s="77" t="s">
        <v>438</v>
      </c>
      <c r="P26" s="79">
        <v>44930.154328703706</v>
      </c>
      <c r="Q26" s="77" t="s">
        <v>456</v>
      </c>
      <c r="R26" s="77">
        <v>0</v>
      </c>
      <c r="S26" s="77">
        <v>2</v>
      </c>
      <c r="T26" s="77">
        <v>0</v>
      </c>
      <c r="U26" s="77">
        <v>0</v>
      </c>
      <c r="V26" s="77">
        <v>480</v>
      </c>
      <c r="W26" s="77"/>
      <c r="X26" s="77"/>
      <c r="Y26" s="77"/>
      <c r="Z26" s="77" t="s">
        <v>354</v>
      </c>
      <c r="AA26" s="77"/>
      <c r="AB26" s="77"/>
      <c r="AC26" s="81" t="s">
        <v>674</v>
      </c>
      <c r="AD26" s="77" t="s">
        <v>686</v>
      </c>
      <c r="AE26" s="83" t="str">
        <f>HYPERLINK("https://twitter.com/1markcoker/status/1610481704812318720")</f>
        <v>https://twitter.com/1markcoker/status/1610481704812318720</v>
      </c>
      <c r="AF26" s="79">
        <v>44930.154328703706</v>
      </c>
      <c r="AG26" s="85">
        <v>44930</v>
      </c>
      <c r="AH26" s="81" t="s">
        <v>701</v>
      </c>
      <c r="AI26" s="77"/>
      <c r="AJ26" s="77" t="s">
        <v>830</v>
      </c>
      <c r="AK26" s="77" t="s">
        <v>849</v>
      </c>
      <c r="AL26" s="77" t="s">
        <v>850</v>
      </c>
      <c r="AM26" s="77" t="s">
        <v>854</v>
      </c>
      <c r="AN26" s="77" t="s">
        <v>876</v>
      </c>
      <c r="AO26" s="77" t="s">
        <v>898</v>
      </c>
      <c r="AP26" s="77" t="s">
        <v>917</v>
      </c>
      <c r="AQ26" s="77"/>
      <c r="AR26" s="77"/>
      <c r="AS26" s="77"/>
      <c r="AT26" s="77"/>
      <c r="AU26" s="77"/>
      <c r="AV26" s="83" t="str">
        <f>HYPERLINK("https://pbs.twimg.com/profile_images/1713267471795552256/I2PZVV1m_normal.jpg")</f>
        <v>https://pbs.twimg.com/profile_images/1713267471795552256/I2PZVV1m_normal.jpg</v>
      </c>
      <c r="AW26" s="81" t="s">
        <v>954</v>
      </c>
      <c r="AX26" s="81" t="s">
        <v>1089</v>
      </c>
      <c r="AY26" s="81" t="s">
        <v>1154</v>
      </c>
      <c r="AZ26" s="81" t="s">
        <v>1089</v>
      </c>
      <c r="BA26" s="81" t="s">
        <v>1210</v>
      </c>
      <c r="BB26" s="81" t="s">
        <v>1210</v>
      </c>
      <c r="BC26" s="81" t="s">
        <v>1089</v>
      </c>
      <c r="BD26" s="77">
        <v>1515310844</v>
      </c>
      <c r="BE26" s="77"/>
      <c r="BF26" s="77"/>
      <c r="BG26" s="77"/>
      <c r="BH26" s="77"/>
      <c r="BI26" s="77"/>
      <c r="BJ26">
        <v>1</v>
      </c>
      <c r="BK26" s="76" t="str">
        <f>REPLACE(INDEX(GroupVertices[Group],MATCH("~"&amp;Edges[[#This Row],[Vertex 1]],GroupVertices[Vertex],0)),1,1,"")</f>
        <v>62</v>
      </c>
      <c r="BL26" s="76" t="str">
        <f>REPLACE(INDEX(GroupVertices[Group],MATCH("~"&amp;Edges[[#This Row],[Vertex 2]],GroupVertices[Vertex],0)),1,1,"")</f>
        <v>62</v>
      </c>
      <c r="BM26" s="45">
        <v>2</v>
      </c>
      <c r="BN26" s="46">
        <v>5.714285714285714</v>
      </c>
      <c r="BO26" s="45">
        <v>2</v>
      </c>
      <c r="BP26" s="46">
        <v>5.714285714285714</v>
      </c>
      <c r="BQ26" s="45">
        <v>0</v>
      </c>
      <c r="BR26" s="46">
        <v>0</v>
      </c>
      <c r="BS26" s="45">
        <v>15</v>
      </c>
      <c r="BT26" s="46">
        <v>42.857142857142854</v>
      </c>
      <c r="BU26" s="45">
        <v>35</v>
      </c>
    </row>
    <row r="27" spans="1:73" ht="15">
      <c r="A27" s="61" t="s">
        <v>236</v>
      </c>
      <c r="B27" s="61" t="s">
        <v>236</v>
      </c>
      <c r="C27" s="62" t="s">
        <v>11652</v>
      </c>
      <c r="D27" s="63">
        <v>3</v>
      </c>
      <c r="E27" s="64" t="s">
        <v>132</v>
      </c>
      <c r="F27" s="65">
        <v>32</v>
      </c>
      <c r="G27" s="62"/>
      <c r="H27" s="66"/>
      <c r="I27" s="67"/>
      <c r="J27" s="67"/>
      <c r="K27" s="31" t="s">
        <v>65</v>
      </c>
      <c r="L27" s="75">
        <v>27</v>
      </c>
      <c r="M27" s="75"/>
      <c r="N27" s="69"/>
      <c r="O27" s="77" t="s">
        <v>178</v>
      </c>
      <c r="P27" s="79">
        <v>45282.091944444444</v>
      </c>
      <c r="Q27" s="77" t="s">
        <v>457</v>
      </c>
      <c r="R27" s="77">
        <v>0</v>
      </c>
      <c r="S27" s="77">
        <v>1</v>
      </c>
      <c r="T27" s="77">
        <v>0</v>
      </c>
      <c r="U27" s="77">
        <v>0</v>
      </c>
      <c r="V27" s="77">
        <v>44</v>
      </c>
      <c r="W27" s="77"/>
      <c r="X27" s="77"/>
      <c r="Y27" s="77"/>
      <c r="Z27" s="77"/>
      <c r="AA27" s="77"/>
      <c r="AB27" s="77"/>
      <c r="AC27" s="81" t="s">
        <v>674</v>
      </c>
      <c r="AD27" s="77" t="s">
        <v>686</v>
      </c>
      <c r="AE27" s="83" t="str">
        <f>HYPERLINK("https://twitter.com/1markcoker/status/1738019628411244576")</f>
        <v>https://twitter.com/1markcoker/status/1738019628411244576</v>
      </c>
      <c r="AF27" s="79">
        <v>45282.091944444444</v>
      </c>
      <c r="AG27" s="85">
        <v>45282</v>
      </c>
      <c r="AH27" s="81" t="s">
        <v>702</v>
      </c>
      <c r="AI27" s="77"/>
      <c r="AJ27" s="77" t="s">
        <v>828</v>
      </c>
      <c r="AK27" s="77" t="s">
        <v>849</v>
      </c>
      <c r="AL27" s="77" t="s">
        <v>850</v>
      </c>
      <c r="AM27" s="77" t="s">
        <v>852</v>
      </c>
      <c r="AN27" s="77" t="s">
        <v>874</v>
      </c>
      <c r="AO27" s="77" t="s">
        <v>896</v>
      </c>
      <c r="AP27" s="77" t="s">
        <v>917</v>
      </c>
      <c r="AQ27" s="77"/>
      <c r="AR27" s="77"/>
      <c r="AS27" s="77"/>
      <c r="AT27" s="77"/>
      <c r="AU27" s="77"/>
      <c r="AV27" s="83" t="str">
        <f>HYPERLINK("https://pbs.twimg.com/profile_images/1713267471795552256/I2PZVV1m_normal.jpg")</f>
        <v>https://pbs.twimg.com/profile_images/1713267471795552256/I2PZVV1m_normal.jpg</v>
      </c>
      <c r="AW27" s="81" t="s">
        <v>955</v>
      </c>
      <c r="AX27" s="81" t="s">
        <v>955</v>
      </c>
      <c r="AY27" s="77"/>
      <c r="AZ27" s="81" t="s">
        <v>1210</v>
      </c>
      <c r="BA27" s="81" t="s">
        <v>1210</v>
      </c>
      <c r="BB27" s="81" t="s">
        <v>1210</v>
      </c>
      <c r="BC27" s="81" t="s">
        <v>955</v>
      </c>
      <c r="BD27" s="77">
        <v>1515310844</v>
      </c>
      <c r="BE27" s="77"/>
      <c r="BF27" s="77"/>
      <c r="BG27" s="77"/>
      <c r="BH27" s="77"/>
      <c r="BI27" s="77"/>
      <c r="BJ27">
        <v>1</v>
      </c>
      <c r="BK27" s="76" t="str">
        <f>REPLACE(INDEX(GroupVertices[Group],MATCH("~"&amp;Edges[[#This Row],[Vertex 1]],GroupVertices[Vertex],0)),1,1,"")</f>
        <v>62</v>
      </c>
      <c r="BL27" s="76" t="str">
        <f>REPLACE(INDEX(GroupVertices[Group],MATCH("~"&amp;Edges[[#This Row],[Vertex 2]],GroupVertices[Vertex],0)),1,1,"")</f>
        <v>62</v>
      </c>
      <c r="BM27" s="45">
        <v>0</v>
      </c>
      <c r="BN27" s="46">
        <v>0</v>
      </c>
      <c r="BO27" s="45">
        <v>4</v>
      </c>
      <c r="BP27" s="46">
        <v>6.896551724137931</v>
      </c>
      <c r="BQ27" s="45">
        <v>0</v>
      </c>
      <c r="BR27" s="46">
        <v>0</v>
      </c>
      <c r="BS27" s="45">
        <v>21</v>
      </c>
      <c r="BT27" s="46">
        <v>36.206896551724135</v>
      </c>
      <c r="BU27" s="45">
        <v>58</v>
      </c>
    </row>
    <row r="28" spans="1:73" ht="15">
      <c r="A28" s="61" t="s">
        <v>237</v>
      </c>
      <c r="B28" s="61" t="s">
        <v>237</v>
      </c>
      <c r="C28" s="62" t="s">
        <v>11652</v>
      </c>
      <c r="D28" s="63">
        <v>3</v>
      </c>
      <c r="E28" s="64" t="s">
        <v>132</v>
      </c>
      <c r="F28" s="65">
        <v>32</v>
      </c>
      <c r="G28" s="62"/>
      <c r="H28" s="66"/>
      <c r="I28" s="67"/>
      <c r="J28" s="67"/>
      <c r="K28" s="31" t="s">
        <v>65</v>
      </c>
      <c r="L28" s="75">
        <v>28</v>
      </c>
      <c r="M28" s="75"/>
      <c r="N28" s="69"/>
      <c r="O28" s="77" t="s">
        <v>178</v>
      </c>
      <c r="P28" s="79">
        <v>45029.92025462963</v>
      </c>
      <c r="Q28" s="77" t="s">
        <v>458</v>
      </c>
      <c r="R28" s="77">
        <v>9</v>
      </c>
      <c r="S28" s="77">
        <v>84</v>
      </c>
      <c r="T28" s="77">
        <v>29</v>
      </c>
      <c r="U28" s="77">
        <v>2</v>
      </c>
      <c r="V28" s="77">
        <v>6942</v>
      </c>
      <c r="W28" s="77"/>
      <c r="X28" s="77"/>
      <c r="Y28" s="77"/>
      <c r="Z28" s="77"/>
      <c r="AA28" s="77"/>
      <c r="AB28" s="77"/>
      <c r="AC28" s="81" t="s">
        <v>674</v>
      </c>
      <c r="AD28" s="77" t="s">
        <v>686</v>
      </c>
      <c r="AE28" s="83" t="str">
        <f>HYPERLINK("https://twitter.com/saylahachey/status/1646635665021624320")</f>
        <v>https://twitter.com/saylahachey/status/1646635665021624320</v>
      </c>
      <c r="AF28" s="79">
        <v>45029.92025462963</v>
      </c>
      <c r="AG28" s="85">
        <v>45029</v>
      </c>
      <c r="AH28" s="81" t="s">
        <v>703</v>
      </c>
      <c r="AI28" s="77"/>
      <c r="AJ28" s="77" t="s">
        <v>828</v>
      </c>
      <c r="AK28" s="77" t="s">
        <v>849</v>
      </c>
      <c r="AL28" s="77" t="s">
        <v>850</v>
      </c>
      <c r="AM28" s="77" t="s">
        <v>852</v>
      </c>
      <c r="AN28" s="77" t="s">
        <v>874</v>
      </c>
      <c r="AO28" s="77" t="s">
        <v>896</v>
      </c>
      <c r="AP28" s="77" t="s">
        <v>917</v>
      </c>
      <c r="AQ28" s="77"/>
      <c r="AR28" s="77"/>
      <c r="AS28" s="77"/>
      <c r="AT28" s="77"/>
      <c r="AU28" s="77"/>
      <c r="AV28" s="83" t="str">
        <f>HYPERLINK("https://pbs.twimg.com/profile_images/1749584625180270592/a4dS57l4_normal.jpg")</f>
        <v>https://pbs.twimg.com/profile_images/1749584625180270592/a4dS57l4_normal.jpg</v>
      </c>
      <c r="AW28" s="81" t="s">
        <v>956</v>
      </c>
      <c r="AX28" s="81" t="s">
        <v>956</v>
      </c>
      <c r="AY28" s="77"/>
      <c r="AZ28" s="81" t="s">
        <v>1210</v>
      </c>
      <c r="BA28" s="81" t="s">
        <v>1210</v>
      </c>
      <c r="BB28" s="81" t="s">
        <v>1210</v>
      </c>
      <c r="BC28" s="81" t="s">
        <v>956</v>
      </c>
      <c r="BD28" s="81" t="s">
        <v>1242</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1</v>
      </c>
      <c r="BN28" s="46">
        <v>10</v>
      </c>
      <c r="BO28" s="45">
        <v>2</v>
      </c>
      <c r="BP28" s="46">
        <v>20</v>
      </c>
      <c r="BQ28" s="45">
        <v>0</v>
      </c>
      <c r="BR28" s="46">
        <v>0</v>
      </c>
      <c r="BS28" s="45">
        <v>1</v>
      </c>
      <c r="BT28" s="46">
        <v>10</v>
      </c>
      <c r="BU28" s="45">
        <v>10</v>
      </c>
    </row>
    <row r="29" spans="1:73" ht="15">
      <c r="A29" s="61" t="s">
        <v>238</v>
      </c>
      <c r="B29" s="61" t="s">
        <v>238</v>
      </c>
      <c r="C29" s="62" t="s">
        <v>11652</v>
      </c>
      <c r="D29" s="63">
        <v>3</v>
      </c>
      <c r="E29" s="64" t="s">
        <v>132</v>
      </c>
      <c r="F29" s="65">
        <v>32</v>
      </c>
      <c r="G29" s="62"/>
      <c r="H29" s="66"/>
      <c r="I29" s="67"/>
      <c r="J29" s="67"/>
      <c r="K29" s="31" t="s">
        <v>65</v>
      </c>
      <c r="L29" s="75">
        <v>29</v>
      </c>
      <c r="M29" s="75"/>
      <c r="N29" s="69"/>
      <c r="O29" s="77" t="s">
        <v>438</v>
      </c>
      <c r="P29" s="79">
        <v>45315.940300925926</v>
      </c>
      <c r="Q29" s="77" t="s">
        <v>459</v>
      </c>
      <c r="R29" s="77">
        <v>0</v>
      </c>
      <c r="S29" s="77">
        <v>0</v>
      </c>
      <c r="T29" s="77">
        <v>1</v>
      </c>
      <c r="U29" s="77">
        <v>0</v>
      </c>
      <c r="V29" s="77">
        <v>92</v>
      </c>
      <c r="W29" s="77"/>
      <c r="X29" s="77"/>
      <c r="Y29" s="77"/>
      <c r="Z29" s="77"/>
      <c r="AA29" s="77"/>
      <c r="AB29" s="77"/>
      <c r="AC29" s="81" t="s">
        <v>675</v>
      </c>
      <c r="AD29" s="77" t="s">
        <v>686</v>
      </c>
      <c r="AE29" s="83" t="str">
        <f>HYPERLINK("https://twitter.com/dc_us/status/1750285858627092898")</f>
        <v>https://twitter.com/dc_us/status/1750285858627092898</v>
      </c>
      <c r="AF29" s="79">
        <v>45315.940300925926</v>
      </c>
      <c r="AG29" s="85">
        <v>45315</v>
      </c>
      <c r="AH29" s="81" t="s">
        <v>704</v>
      </c>
      <c r="AI29" s="77"/>
      <c r="AJ29" s="77"/>
      <c r="AK29" s="77"/>
      <c r="AL29" s="77"/>
      <c r="AM29" s="77"/>
      <c r="AN29" s="77"/>
      <c r="AO29" s="77"/>
      <c r="AP29" s="77"/>
      <c r="AQ29" s="77"/>
      <c r="AR29" s="77"/>
      <c r="AS29" s="77"/>
      <c r="AT29" s="77"/>
      <c r="AU29" s="77"/>
      <c r="AV29" s="83" t="str">
        <f>HYPERLINK("https://pbs.twimg.com/profile_images/1751808395039084544/gvnbNJNB_normal.jpg")</f>
        <v>https://pbs.twimg.com/profile_images/1751808395039084544/gvnbNJNB_normal.jpg</v>
      </c>
      <c r="AW29" s="81" t="s">
        <v>957</v>
      </c>
      <c r="AX29" s="81" t="s">
        <v>1090</v>
      </c>
      <c r="AY29" s="81" t="s">
        <v>1155</v>
      </c>
      <c r="AZ29" s="81" t="s">
        <v>1090</v>
      </c>
      <c r="BA29" s="81" t="s">
        <v>1210</v>
      </c>
      <c r="BB29" s="81" t="s">
        <v>1210</v>
      </c>
      <c r="BC29" s="81" t="s">
        <v>1090</v>
      </c>
      <c r="BD29" s="77">
        <v>101825287</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3</v>
      </c>
      <c r="BP29" s="46">
        <v>7.894736842105263</v>
      </c>
      <c r="BQ29" s="45">
        <v>0</v>
      </c>
      <c r="BR29" s="46">
        <v>0</v>
      </c>
      <c r="BS29" s="45">
        <v>30</v>
      </c>
      <c r="BT29" s="46">
        <v>78.94736842105263</v>
      </c>
      <c r="BU29" s="45">
        <v>38</v>
      </c>
    </row>
    <row r="30" spans="1:73" ht="15">
      <c r="A30" s="61" t="s">
        <v>239</v>
      </c>
      <c r="B30" s="61" t="s">
        <v>280</v>
      </c>
      <c r="C30" s="62" t="s">
        <v>11652</v>
      </c>
      <c r="D30" s="63">
        <v>3</v>
      </c>
      <c r="E30" s="64" t="s">
        <v>132</v>
      </c>
      <c r="F30" s="65">
        <v>32</v>
      </c>
      <c r="G30" s="62"/>
      <c r="H30" s="66"/>
      <c r="I30" s="67"/>
      <c r="J30" s="67"/>
      <c r="K30" s="31" t="s">
        <v>65</v>
      </c>
      <c r="L30" s="75">
        <v>30</v>
      </c>
      <c r="M30" s="75"/>
      <c r="N30" s="69"/>
      <c r="O30" s="77" t="s">
        <v>439</v>
      </c>
      <c r="P30" s="79">
        <v>45317.43829861111</v>
      </c>
      <c r="Q30" s="77" t="s">
        <v>460</v>
      </c>
      <c r="R30" s="77">
        <v>0</v>
      </c>
      <c r="S30" s="77">
        <v>2</v>
      </c>
      <c r="T30" s="77">
        <v>0</v>
      </c>
      <c r="U30" s="77">
        <v>0</v>
      </c>
      <c r="V30" s="77">
        <v>164</v>
      </c>
      <c r="W30" s="77"/>
      <c r="X30" s="77"/>
      <c r="Y30" s="77"/>
      <c r="Z30" s="77"/>
      <c r="AA30" s="77"/>
      <c r="AB30" s="77"/>
      <c r="AC30" s="81" t="s">
        <v>677</v>
      </c>
      <c r="AD30" s="77" t="s">
        <v>686</v>
      </c>
      <c r="AE30" s="83" t="str">
        <f>HYPERLINK("https://twitter.com/dennisthatsit/status/1750828716304031958")</f>
        <v>https://twitter.com/dennisthatsit/status/1750828716304031958</v>
      </c>
      <c r="AF30" s="79">
        <v>45317.43829861111</v>
      </c>
      <c r="AG30" s="85">
        <v>45317</v>
      </c>
      <c r="AH30" s="81" t="s">
        <v>705</v>
      </c>
      <c r="AI30" s="77"/>
      <c r="AJ30" s="77"/>
      <c r="AK30" s="77"/>
      <c r="AL30" s="77"/>
      <c r="AM30" s="77"/>
      <c r="AN30" s="77"/>
      <c r="AO30" s="77"/>
      <c r="AP30" s="77"/>
      <c r="AQ30" s="77"/>
      <c r="AR30" s="77"/>
      <c r="AS30" s="77"/>
      <c r="AT30" s="77"/>
      <c r="AU30" s="77"/>
      <c r="AV30" s="83" t="str">
        <f>HYPERLINK("https://pbs.twimg.com/profile_images/1094430719722512384/wkO7QMpY_normal.jpg")</f>
        <v>https://pbs.twimg.com/profile_images/1094430719722512384/wkO7QMpY_normal.jpg</v>
      </c>
      <c r="AW30" s="81" t="s">
        <v>958</v>
      </c>
      <c r="AX30" s="81" t="s">
        <v>958</v>
      </c>
      <c r="AY30" s="77"/>
      <c r="AZ30" s="81" t="s">
        <v>1210</v>
      </c>
      <c r="BA30" s="81" t="s">
        <v>1001</v>
      </c>
      <c r="BB30" s="81" t="s">
        <v>1210</v>
      </c>
      <c r="BC30" s="81" t="s">
        <v>1001</v>
      </c>
      <c r="BD30" s="77">
        <v>2547545466</v>
      </c>
      <c r="BE30" s="77"/>
      <c r="BF30" s="77"/>
      <c r="BG30" s="77"/>
      <c r="BH30" s="77"/>
      <c r="BI30" s="77"/>
      <c r="BJ30">
        <v>1</v>
      </c>
      <c r="BK30" s="76" t="str">
        <f>REPLACE(INDEX(GroupVertices[Group],MATCH("~"&amp;Edges[[#This Row],[Vertex 1]],GroupVertices[Vertex],0)),1,1,"")</f>
        <v>61</v>
      </c>
      <c r="BL30" s="76" t="str">
        <f>REPLACE(INDEX(GroupVertices[Group],MATCH("~"&amp;Edges[[#This Row],[Vertex 2]],GroupVertices[Vertex],0)),1,1,"")</f>
        <v>61</v>
      </c>
      <c r="BM30" s="45">
        <v>1</v>
      </c>
      <c r="BN30" s="46">
        <v>2</v>
      </c>
      <c r="BO30" s="45">
        <v>2</v>
      </c>
      <c r="BP30" s="46">
        <v>4</v>
      </c>
      <c r="BQ30" s="45">
        <v>0</v>
      </c>
      <c r="BR30" s="46">
        <v>0</v>
      </c>
      <c r="BS30" s="45">
        <v>19</v>
      </c>
      <c r="BT30" s="46">
        <v>38</v>
      </c>
      <c r="BU30" s="45">
        <v>50</v>
      </c>
    </row>
    <row r="31" spans="1:73" ht="15">
      <c r="A31" s="61" t="s">
        <v>240</v>
      </c>
      <c r="B31" s="61" t="s">
        <v>355</v>
      </c>
      <c r="C31" s="62" t="s">
        <v>11652</v>
      </c>
      <c r="D31" s="63">
        <v>3</v>
      </c>
      <c r="E31" s="64" t="s">
        <v>132</v>
      </c>
      <c r="F31" s="65">
        <v>32</v>
      </c>
      <c r="G31" s="62"/>
      <c r="H31" s="66"/>
      <c r="I31" s="67"/>
      <c r="J31" s="67"/>
      <c r="K31" s="31" t="s">
        <v>65</v>
      </c>
      <c r="L31" s="75">
        <v>31</v>
      </c>
      <c r="M31" s="75"/>
      <c r="N31" s="69"/>
      <c r="O31" s="77" t="s">
        <v>438</v>
      </c>
      <c r="P31" s="79">
        <v>44970.24077546296</v>
      </c>
      <c r="Q31" s="77" t="s">
        <v>461</v>
      </c>
      <c r="R31" s="77">
        <v>0</v>
      </c>
      <c r="S31" s="77">
        <v>0</v>
      </c>
      <c r="T31" s="77">
        <v>0</v>
      </c>
      <c r="U31" s="77">
        <v>0</v>
      </c>
      <c r="V31" s="77">
        <v>314</v>
      </c>
      <c r="W31" s="77"/>
      <c r="X31" s="77"/>
      <c r="Y31" s="77"/>
      <c r="Z31" s="77" t="s">
        <v>355</v>
      </c>
      <c r="AA31" s="77"/>
      <c r="AB31" s="77"/>
      <c r="AC31" s="81" t="s">
        <v>674</v>
      </c>
      <c r="AD31" s="77" t="s">
        <v>686</v>
      </c>
      <c r="AE31" s="83" t="str">
        <f>HYPERLINK("https://twitter.com/glorianelson/status/1625008547397517314")</f>
        <v>https://twitter.com/glorianelson/status/1625008547397517314</v>
      </c>
      <c r="AF31" s="79">
        <v>44970.24077546296</v>
      </c>
      <c r="AG31" s="85">
        <v>44970</v>
      </c>
      <c r="AH31" s="81" t="s">
        <v>706</v>
      </c>
      <c r="AI31" s="77"/>
      <c r="AJ31" s="77" t="s">
        <v>831</v>
      </c>
      <c r="AK31" s="77" t="s">
        <v>849</v>
      </c>
      <c r="AL31" s="77" t="s">
        <v>850</v>
      </c>
      <c r="AM31" s="77" t="s">
        <v>855</v>
      </c>
      <c r="AN31" s="77" t="s">
        <v>877</v>
      </c>
      <c r="AO31" s="77" t="s">
        <v>899</v>
      </c>
      <c r="AP31" s="77" t="s">
        <v>917</v>
      </c>
      <c r="AQ31" s="77"/>
      <c r="AR31" s="77"/>
      <c r="AS31" s="77"/>
      <c r="AT31" s="77"/>
      <c r="AU31" s="77"/>
      <c r="AV31" s="83" t="str">
        <f>HYPERLINK("https://pbs.twimg.com/profile_images/439635627269558272/7NaPKuqY_normal.jpeg")</f>
        <v>https://pbs.twimg.com/profile_images/439635627269558272/7NaPKuqY_normal.jpeg</v>
      </c>
      <c r="AW31" s="81" t="s">
        <v>959</v>
      </c>
      <c r="AX31" s="81" t="s">
        <v>1091</v>
      </c>
      <c r="AY31" s="81" t="s">
        <v>1156</v>
      </c>
      <c r="AZ31" s="81" t="s">
        <v>1091</v>
      </c>
      <c r="BA31" s="81" t="s">
        <v>1210</v>
      </c>
      <c r="BB31" s="81" t="s">
        <v>1210</v>
      </c>
      <c r="BC31" s="81" t="s">
        <v>1091</v>
      </c>
      <c r="BD31" s="77">
        <v>36297407</v>
      </c>
      <c r="BE31" s="77"/>
      <c r="BF31" s="77"/>
      <c r="BG31" s="77"/>
      <c r="BH31" s="77"/>
      <c r="BI31" s="77"/>
      <c r="BJ31">
        <v>1</v>
      </c>
      <c r="BK31" s="76" t="str">
        <f>REPLACE(INDEX(GroupVertices[Group],MATCH("~"&amp;Edges[[#This Row],[Vertex 1]],GroupVertices[Vertex],0)),1,1,"")</f>
        <v>60</v>
      </c>
      <c r="BL31" s="76" t="str">
        <f>REPLACE(INDEX(GroupVertices[Group],MATCH("~"&amp;Edges[[#This Row],[Vertex 2]],GroupVertices[Vertex],0)),1,1,"")</f>
        <v>60</v>
      </c>
      <c r="BM31" s="45">
        <v>3</v>
      </c>
      <c r="BN31" s="46">
        <v>12</v>
      </c>
      <c r="BO31" s="45">
        <v>1</v>
      </c>
      <c r="BP31" s="46">
        <v>4</v>
      </c>
      <c r="BQ31" s="45">
        <v>0</v>
      </c>
      <c r="BR31" s="46">
        <v>0</v>
      </c>
      <c r="BS31" s="45">
        <v>7</v>
      </c>
      <c r="BT31" s="46">
        <v>28</v>
      </c>
      <c r="BU31" s="45">
        <v>25</v>
      </c>
    </row>
    <row r="32" spans="1:73" ht="15">
      <c r="A32" s="61" t="s">
        <v>241</v>
      </c>
      <c r="B32" s="61" t="s">
        <v>356</v>
      </c>
      <c r="C32" s="62" t="s">
        <v>11652</v>
      </c>
      <c r="D32" s="63">
        <v>3</v>
      </c>
      <c r="E32" s="64" t="s">
        <v>132</v>
      </c>
      <c r="F32" s="65">
        <v>32</v>
      </c>
      <c r="G32" s="62"/>
      <c r="H32" s="66"/>
      <c r="I32" s="67"/>
      <c r="J32" s="67"/>
      <c r="K32" s="31" t="s">
        <v>65</v>
      </c>
      <c r="L32" s="75">
        <v>32</v>
      </c>
      <c r="M32" s="75"/>
      <c r="N32" s="69"/>
      <c r="O32" s="77" t="s">
        <v>437</v>
      </c>
      <c r="P32" s="79">
        <v>45263.270682870374</v>
      </c>
      <c r="Q32" s="77" t="s">
        <v>462</v>
      </c>
      <c r="R32" s="77">
        <v>0</v>
      </c>
      <c r="S32" s="77">
        <v>0</v>
      </c>
      <c r="T32" s="77">
        <v>1</v>
      </c>
      <c r="U32" s="77">
        <v>0</v>
      </c>
      <c r="V32" s="77">
        <v>23</v>
      </c>
      <c r="W32" s="77"/>
      <c r="X32" s="83" t="str">
        <f>HYPERLINK("https://www.cnbc.com/2019/10/10/trump-defends-allowing-turkish-offensive-on-kurds-in-syria-they-didnt-help-us-in-ww2.html")</f>
        <v>https://www.cnbc.com/2019/10/10/trump-defends-allowing-turkish-offensive-on-kurds-in-syria-they-didnt-help-us-in-ww2.html</v>
      </c>
      <c r="Y32" s="77" t="s">
        <v>600</v>
      </c>
      <c r="Z32" s="77" t="s">
        <v>625</v>
      </c>
      <c r="AA32" s="77" t="s">
        <v>650</v>
      </c>
      <c r="AB32" s="77" t="s">
        <v>671</v>
      </c>
      <c r="AC32" s="81" t="s">
        <v>677</v>
      </c>
      <c r="AD32" s="77" t="s">
        <v>686</v>
      </c>
      <c r="AE32" s="83" t="str">
        <f>HYPERLINK("https://twitter.com/tina67536990/status/1731199031660188151")</f>
        <v>https://twitter.com/tina67536990/status/1731199031660188151</v>
      </c>
      <c r="AF32" s="79">
        <v>45263.270682870374</v>
      </c>
      <c r="AG32" s="85">
        <v>45263</v>
      </c>
      <c r="AH32" s="81" t="s">
        <v>707</v>
      </c>
      <c r="AI32" s="77" t="b">
        <v>0</v>
      </c>
      <c r="AJ32" s="77" t="s">
        <v>828</v>
      </c>
      <c r="AK32" s="77" t="s">
        <v>849</v>
      </c>
      <c r="AL32" s="77" t="s">
        <v>850</v>
      </c>
      <c r="AM32" s="77" t="s">
        <v>852</v>
      </c>
      <c r="AN32" s="77" t="s">
        <v>874</v>
      </c>
      <c r="AO32" s="77" t="s">
        <v>896</v>
      </c>
      <c r="AP32" s="77" t="s">
        <v>917</v>
      </c>
      <c r="AQ32" s="77" t="s">
        <v>921</v>
      </c>
      <c r="AR32" s="77"/>
      <c r="AS32" s="77"/>
      <c r="AT32" s="77"/>
      <c r="AU32" s="77"/>
      <c r="AV32" s="83" t="str">
        <f>HYPERLINK("https://pbs.twimg.com/media/GAZ0V8WbgAAvdxE.jpg")</f>
        <v>https://pbs.twimg.com/media/GAZ0V8WbgAAvdxE.jpg</v>
      </c>
      <c r="AW32" s="81" t="s">
        <v>960</v>
      </c>
      <c r="AX32" s="81" t="s">
        <v>1092</v>
      </c>
      <c r="AY32" s="81" t="s">
        <v>1157</v>
      </c>
      <c r="AZ32" s="81" t="s">
        <v>1212</v>
      </c>
      <c r="BA32" s="81" t="s">
        <v>1210</v>
      </c>
      <c r="BB32" s="81" t="s">
        <v>1210</v>
      </c>
      <c r="BC32" s="81" t="s">
        <v>1212</v>
      </c>
      <c r="BD32" s="81" t="s">
        <v>1243</v>
      </c>
      <c r="BE32" s="77"/>
      <c r="BF32" s="77"/>
      <c r="BG32" s="77"/>
      <c r="BH32" s="77"/>
      <c r="BI32" s="77"/>
      <c r="BJ32">
        <v>1</v>
      </c>
      <c r="BK32" s="76" t="str">
        <f>REPLACE(INDEX(GroupVertices[Group],MATCH("~"&amp;Edges[[#This Row],[Vertex 1]],GroupVertices[Vertex],0)),1,1,"")</f>
        <v>21</v>
      </c>
      <c r="BL32" s="76" t="str">
        <f>REPLACE(INDEX(GroupVertices[Group],MATCH("~"&amp;Edges[[#This Row],[Vertex 2]],GroupVertices[Vertex],0)),1,1,"")</f>
        <v>21</v>
      </c>
      <c r="BM32" s="45"/>
      <c r="BN32" s="46"/>
      <c r="BO32" s="45"/>
      <c r="BP32" s="46"/>
      <c r="BQ32" s="45"/>
      <c r="BR32" s="46"/>
      <c r="BS32" s="45"/>
      <c r="BT32" s="46"/>
      <c r="BU32" s="45"/>
    </row>
    <row r="33" spans="1:73" ht="15">
      <c r="A33" s="61" t="s">
        <v>241</v>
      </c>
      <c r="B33" s="61" t="s">
        <v>357</v>
      </c>
      <c r="C33" s="62" t="s">
        <v>11652</v>
      </c>
      <c r="D33" s="63">
        <v>3</v>
      </c>
      <c r="E33" s="64" t="s">
        <v>132</v>
      </c>
      <c r="F33" s="65">
        <v>32</v>
      </c>
      <c r="G33" s="62"/>
      <c r="H33" s="66"/>
      <c r="I33" s="67"/>
      <c r="J33" s="67"/>
      <c r="K33" s="31" t="s">
        <v>65</v>
      </c>
      <c r="L33" s="75">
        <v>33</v>
      </c>
      <c r="M33" s="75"/>
      <c r="N33" s="69"/>
      <c r="O33" s="77" t="s">
        <v>438</v>
      </c>
      <c r="P33" s="79">
        <v>45263.270682870374</v>
      </c>
      <c r="Q33" s="77" t="s">
        <v>462</v>
      </c>
      <c r="R33" s="77">
        <v>0</v>
      </c>
      <c r="S33" s="77">
        <v>0</v>
      </c>
      <c r="T33" s="77">
        <v>1</v>
      </c>
      <c r="U33" s="77">
        <v>0</v>
      </c>
      <c r="V33" s="77">
        <v>23</v>
      </c>
      <c r="W33" s="77"/>
      <c r="X33" s="83" t="str">
        <f>HYPERLINK("https://www.cnbc.com/2019/10/10/trump-defends-allowing-turkish-offensive-on-kurds-in-syria-they-didnt-help-us-in-ww2.html")</f>
        <v>https://www.cnbc.com/2019/10/10/trump-defends-allowing-turkish-offensive-on-kurds-in-syria-they-didnt-help-us-in-ww2.html</v>
      </c>
      <c r="Y33" s="77" t="s">
        <v>600</v>
      </c>
      <c r="Z33" s="77" t="s">
        <v>625</v>
      </c>
      <c r="AA33" s="77" t="s">
        <v>650</v>
      </c>
      <c r="AB33" s="77" t="s">
        <v>671</v>
      </c>
      <c r="AC33" s="81" t="s">
        <v>677</v>
      </c>
      <c r="AD33" s="77" t="s">
        <v>686</v>
      </c>
      <c r="AE33" s="83" t="str">
        <f>HYPERLINK("https://twitter.com/tina67536990/status/1731199031660188151")</f>
        <v>https://twitter.com/tina67536990/status/1731199031660188151</v>
      </c>
      <c r="AF33" s="79">
        <v>45263.270682870374</v>
      </c>
      <c r="AG33" s="85">
        <v>45263</v>
      </c>
      <c r="AH33" s="81" t="s">
        <v>707</v>
      </c>
      <c r="AI33" s="77" t="b">
        <v>0</v>
      </c>
      <c r="AJ33" s="77" t="s">
        <v>828</v>
      </c>
      <c r="AK33" s="77" t="s">
        <v>849</v>
      </c>
      <c r="AL33" s="77" t="s">
        <v>850</v>
      </c>
      <c r="AM33" s="77" t="s">
        <v>852</v>
      </c>
      <c r="AN33" s="77" t="s">
        <v>874</v>
      </c>
      <c r="AO33" s="77" t="s">
        <v>896</v>
      </c>
      <c r="AP33" s="77" t="s">
        <v>917</v>
      </c>
      <c r="AQ33" s="77" t="s">
        <v>921</v>
      </c>
      <c r="AR33" s="77"/>
      <c r="AS33" s="77"/>
      <c r="AT33" s="77"/>
      <c r="AU33" s="77"/>
      <c r="AV33" s="83" t="str">
        <f>HYPERLINK("https://pbs.twimg.com/media/GAZ0V8WbgAAvdxE.jpg")</f>
        <v>https://pbs.twimg.com/media/GAZ0V8WbgAAvdxE.jpg</v>
      </c>
      <c r="AW33" s="81" t="s">
        <v>960</v>
      </c>
      <c r="AX33" s="81" t="s">
        <v>1092</v>
      </c>
      <c r="AY33" s="81" t="s">
        <v>1157</v>
      </c>
      <c r="AZ33" s="81" t="s">
        <v>1212</v>
      </c>
      <c r="BA33" s="81" t="s">
        <v>1210</v>
      </c>
      <c r="BB33" s="81" t="s">
        <v>1210</v>
      </c>
      <c r="BC33" s="81" t="s">
        <v>1212</v>
      </c>
      <c r="BD33" s="81" t="s">
        <v>1243</v>
      </c>
      <c r="BE33" s="77"/>
      <c r="BF33" s="77"/>
      <c r="BG33" s="77"/>
      <c r="BH33" s="77"/>
      <c r="BI33" s="77"/>
      <c r="BJ33">
        <v>1</v>
      </c>
      <c r="BK33" s="76" t="str">
        <f>REPLACE(INDEX(GroupVertices[Group],MATCH("~"&amp;Edges[[#This Row],[Vertex 1]],GroupVertices[Vertex],0)),1,1,"")</f>
        <v>21</v>
      </c>
      <c r="BL33" s="76" t="str">
        <f>REPLACE(INDEX(GroupVertices[Group],MATCH("~"&amp;Edges[[#This Row],[Vertex 2]],GroupVertices[Vertex],0)),1,1,"")</f>
        <v>21</v>
      </c>
      <c r="BM33" s="45">
        <v>0</v>
      </c>
      <c r="BN33" s="46">
        <v>0</v>
      </c>
      <c r="BO33" s="45">
        <v>4</v>
      </c>
      <c r="BP33" s="46">
        <v>9.523809523809524</v>
      </c>
      <c r="BQ33" s="45">
        <v>0</v>
      </c>
      <c r="BR33" s="46">
        <v>0</v>
      </c>
      <c r="BS33" s="45">
        <v>20</v>
      </c>
      <c r="BT33" s="46">
        <v>47.61904761904762</v>
      </c>
      <c r="BU33" s="45">
        <v>42</v>
      </c>
    </row>
    <row r="34" spans="1:73" ht="15">
      <c r="A34" s="61" t="s">
        <v>242</v>
      </c>
      <c r="B34" s="61" t="s">
        <v>242</v>
      </c>
      <c r="C34" s="62" t="s">
        <v>11652</v>
      </c>
      <c r="D34" s="63">
        <v>3</v>
      </c>
      <c r="E34" s="64" t="s">
        <v>132</v>
      </c>
      <c r="F34" s="65">
        <v>32</v>
      </c>
      <c r="G34" s="62"/>
      <c r="H34" s="66"/>
      <c r="I34" s="67"/>
      <c r="J34" s="67"/>
      <c r="K34" s="31" t="s">
        <v>65</v>
      </c>
      <c r="L34" s="75">
        <v>34</v>
      </c>
      <c r="M34" s="75"/>
      <c r="N34" s="69"/>
      <c r="O34" s="77" t="s">
        <v>178</v>
      </c>
      <c r="P34" s="79">
        <v>45302.07380787037</v>
      </c>
      <c r="Q34" s="77" t="s">
        <v>463</v>
      </c>
      <c r="R34" s="77">
        <v>0</v>
      </c>
      <c r="S34" s="77">
        <v>1</v>
      </c>
      <c r="T34" s="77">
        <v>1</v>
      </c>
      <c r="U34" s="77">
        <v>0</v>
      </c>
      <c r="V34" s="77">
        <v>61</v>
      </c>
      <c r="W34" s="81" t="s">
        <v>584</v>
      </c>
      <c r="X34" s="83" t="str">
        <f>HYPERLINK("https://www.thestreet.com/crypto/markets/sec-approves-first-ever-spot-bitcoin-etfs")</f>
        <v>https://www.thestreet.com/crypto/markets/sec-approves-first-ever-spot-bitcoin-etfs</v>
      </c>
      <c r="Y34" s="77" t="s">
        <v>601</v>
      </c>
      <c r="Z34" s="77"/>
      <c r="AA34" s="77"/>
      <c r="AB34" s="77"/>
      <c r="AC34" s="81" t="s">
        <v>677</v>
      </c>
      <c r="AD34" s="77" t="s">
        <v>686</v>
      </c>
      <c r="AE34" s="83" t="str">
        <f>HYPERLINK("https://twitter.com/rls2231404958/status/1745260812602921283")</f>
        <v>https://twitter.com/rls2231404958/status/1745260812602921283</v>
      </c>
      <c r="AF34" s="79">
        <v>45302.07380787037</v>
      </c>
      <c r="AG34" s="85">
        <v>45302</v>
      </c>
      <c r="AH34" s="81" t="s">
        <v>708</v>
      </c>
      <c r="AI34" s="77" t="b">
        <v>0</v>
      </c>
      <c r="AJ34" s="77" t="s">
        <v>828</v>
      </c>
      <c r="AK34" s="77" t="s">
        <v>849</v>
      </c>
      <c r="AL34" s="77" t="s">
        <v>850</v>
      </c>
      <c r="AM34" s="77" t="s">
        <v>852</v>
      </c>
      <c r="AN34" s="77" t="s">
        <v>874</v>
      </c>
      <c r="AO34" s="77" t="s">
        <v>896</v>
      </c>
      <c r="AP34" s="77" t="s">
        <v>917</v>
      </c>
      <c r="AQ34" s="77"/>
      <c r="AR34" s="77"/>
      <c r="AS34" s="77"/>
      <c r="AT34" s="77"/>
      <c r="AU34" s="77"/>
      <c r="AV34" s="83" t="str">
        <f>HYPERLINK("https://pbs.twimg.com/profile_images/1726605352899391489/oKG__d7L_normal.jpg")</f>
        <v>https://pbs.twimg.com/profile_images/1726605352899391489/oKG__d7L_normal.jpg</v>
      </c>
      <c r="AW34" s="81" t="s">
        <v>961</v>
      </c>
      <c r="AX34" s="81" t="s">
        <v>961</v>
      </c>
      <c r="AY34" s="77"/>
      <c r="AZ34" s="81" t="s">
        <v>1210</v>
      </c>
      <c r="BA34" s="81" t="s">
        <v>1210</v>
      </c>
      <c r="BB34" s="81" t="s">
        <v>1210</v>
      </c>
      <c r="BC34" s="81" t="s">
        <v>961</v>
      </c>
      <c r="BD34" s="81" t="s">
        <v>1244</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2</v>
      </c>
      <c r="BN34" s="46">
        <v>5.555555555555555</v>
      </c>
      <c r="BO34" s="45">
        <v>1</v>
      </c>
      <c r="BP34" s="46">
        <v>2.7777777777777777</v>
      </c>
      <c r="BQ34" s="45">
        <v>0</v>
      </c>
      <c r="BR34" s="46">
        <v>0</v>
      </c>
      <c r="BS34" s="45">
        <v>18</v>
      </c>
      <c r="BT34" s="46">
        <v>50</v>
      </c>
      <c r="BU34" s="45">
        <v>36</v>
      </c>
    </row>
    <row r="35" spans="1:73" ht="15">
      <c r="A35" s="61" t="s">
        <v>243</v>
      </c>
      <c r="B35" s="61" t="s">
        <v>358</v>
      </c>
      <c r="C35" s="62" t="s">
        <v>11652</v>
      </c>
      <c r="D35" s="63">
        <v>3</v>
      </c>
      <c r="E35" s="64" t="s">
        <v>132</v>
      </c>
      <c r="F35" s="65">
        <v>32</v>
      </c>
      <c r="G35" s="62"/>
      <c r="H35" s="66"/>
      <c r="I35" s="67"/>
      <c r="J35" s="67"/>
      <c r="K35" s="31" t="s">
        <v>65</v>
      </c>
      <c r="L35" s="75">
        <v>35</v>
      </c>
      <c r="M35" s="75"/>
      <c r="N35" s="69"/>
      <c r="O35" s="77" t="s">
        <v>438</v>
      </c>
      <c r="P35" s="79">
        <v>45218.10292824074</v>
      </c>
      <c r="Q35" s="77" t="s">
        <v>464</v>
      </c>
      <c r="R35" s="77">
        <v>1</v>
      </c>
      <c r="S35" s="77">
        <v>10</v>
      </c>
      <c r="T35" s="77">
        <v>2</v>
      </c>
      <c r="U35" s="77">
        <v>0</v>
      </c>
      <c r="V35" s="77">
        <v>119</v>
      </c>
      <c r="W35" s="77"/>
      <c r="X35" s="77"/>
      <c r="Y35" s="77"/>
      <c r="Z35" s="77" t="s">
        <v>358</v>
      </c>
      <c r="AA35" s="77" t="s">
        <v>651</v>
      </c>
      <c r="AB35" s="77" t="s">
        <v>671</v>
      </c>
      <c r="AC35" s="81" t="s">
        <v>677</v>
      </c>
      <c r="AD35" s="77" t="s">
        <v>686</v>
      </c>
      <c r="AE35" s="83" t="str">
        <f>HYPERLINK("https://twitter.com/jennife39481653/status/1714830782173532265")</f>
        <v>https://twitter.com/jennife39481653/status/1714830782173532265</v>
      </c>
      <c r="AF35" s="79">
        <v>45218.10292824074</v>
      </c>
      <c r="AG35" s="85">
        <v>45218</v>
      </c>
      <c r="AH35" s="81" t="s">
        <v>709</v>
      </c>
      <c r="AI35" s="77" t="b">
        <v>0</v>
      </c>
      <c r="AJ35" s="77" t="s">
        <v>832</v>
      </c>
      <c r="AK35" s="77" t="s">
        <v>849</v>
      </c>
      <c r="AL35" s="77" t="s">
        <v>850</v>
      </c>
      <c r="AM35" s="77" t="s">
        <v>856</v>
      </c>
      <c r="AN35" s="77" t="s">
        <v>878</v>
      </c>
      <c r="AO35" s="77" t="s">
        <v>900</v>
      </c>
      <c r="AP35" s="77" t="s">
        <v>917</v>
      </c>
      <c r="AQ35" s="77" t="s">
        <v>922</v>
      </c>
      <c r="AR35" s="77"/>
      <c r="AS35" s="77"/>
      <c r="AT35" s="77"/>
      <c r="AU35" s="77"/>
      <c r="AV35" s="83" t="str">
        <f>HYPERLINK("https://pbs.twimg.com/media/F8xNgmCbIAAEi7B.jpg")</f>
        <v>https://pbs.twimg.com/media/F8xNgmCbIAAEi7B.jpg</v>
      </c>
      <c r="AW35" s="81" t="s">
        <v>962</v>
      </c>
      <c r="AX35" s="81" t="s">
        <v>1093</v>
      </c>
      <c r="AY35" s="81" t="s">
        <v>1158</v>
      </c>
      <c r="AZ35" s="81" t="s">
        <v>1093</v>
      </c>
      <c r="BA35" s="81" t="s">
        <v>1210</v>
      </c>
      <c r="BB35" s="81" t="s">
        <v>1210</v>
      </c>
      <c r="BC35" s="81" t="s">
        <v>1093</v>
      </c>
      <c r="BD35" s="81" t="s">
        <v>1245</v>
      </c>
      <c r="BE35" s="77"/>
      <c r="BF35" s="77"/>
      <c r="BG35" s="77"/>
      <c r="BH35" s="77"/>
      <c r="BI35" s="77"/>
      <c r="BJ35">
        <v>1</v>
      </c>
      <c r="BK35" s="76" t="str">
        <f>REPLACE(INDEX(GroupVertices[Group],MATCH("~"&amp;Edges[[#This Row],[Vertex 1]],GroupVertices[Vertex],0)),1,1,"")</f>
        <v>59</v>
      </c>
      <c r="BL35" s="76" t="str">
        <f>REPLACE(INDEX(GroupVertices[Group],MATCH("~"&amp;Edges[[#This Row],[Vertex 2]],GroupVertices[Vertex],0)),1,1,"")</f>
        <v>59</v>
      </c>
      <c r="BM35" s="45">
        <v>1</v>
      </c>
      <c r="BN35" s="46">
        <v>3.3333333333333335</v>
      </c>
      <c r="BO35" s="45">
        <v>6</v>
      </c>
      <c r="BP35" s="46">
        <v>20</v>
      </c>
      <c r="BQ35" s="45">
        <v>0</v>
      </c>
      <c r="BR35" s="46">
        <v>0</v>
      </c>
      <c r="BS35" s="45">
        <v>10</v>
      </c>
      <c r="BT35" s="46">
        <v>33.333333333333336</v>
      </c>
      <c r="BU35" s="45">
        <v>30</v>
      </c>
    </row>
    <row r="36" spans="1:73" ht="15">
      <c r="A36" s="61" t="s">
        <v>243</v>
      </c>
      <c r="B36" s="61" t="s">
        <v>243</v>
      </c>
      <c r="C36" s="62" t="s">
        <v>11652</v>
      </c>
      <c r="D36" s="63">
        <v>3</v>
      </c>
      <c r="E36" s="64" t="s">
        <v>132</v>
      </c>
      <c r="F36" s="65">
        <v>32</v>
      </c>
      <c r="G36" s="62"/>
      <c r="H36" s="66"/>
      <c r="I36" s="67"/>
      <c r="J36" s="67"/>
      <c r="K36" s="31" t="s">
        <v>65</v>
      </c>
      <c r="L36" s="75">
        <v>36</v>
      </c>
      <c r="M36" s="75"/>
      <c r="N36" s="69"/>
      <c r="O36" s="77" t="s">
        <v>178</v>
      </c>
      <c r="P36" s="79">
        <v>45268.754594907405</v>
      </c>
      <c r="Q36" s="77" t="s">
        <v>465</v>
      </c>
      <c r="R36" s="77">
        <v>0</v>
      </c>
      <c r="S36" s="77">
        <v>0</v>
      </c>
      <c r="T36" s="77">
        <v>0</v>
      </c>
      <c r="U36" s="77">
        <v>0</v>
      </c>
      <c r="V36" s="77">
        <v>22</v>
      </c>
      <c r="W36" s="81" t="s">
        <v>585</v>
      </c>
      <c r="X36" s="83" t="str">
        <f>HYPERLINK("https://www.aljazeera.com/news/liveblog/2023/12/8/israel-hamas-war-live-palestinians-demand-end-to-israels-gaza-onslaught")</f>
        <v>https://www.aljazeera.com/news/liveblog/2023/12/8/israel-hamas-war-live-palestinians-demand-end-to-israels-gaza-onslaught</v>
      </c>
      <c r="Y36" s="77" t="s">
        <v>602</v>
      </c>
      <c r="Z36" s="77"/>
      <c r="AA36" s="77"/>
      <c r="AB36" s="77"/>
      <c r="AC36" s="81" t="s">
        <v>677</v>
      </c>
      <c r="AD36" s="77" t="s">
        <v>686</v>
      </c>
      <c r="AE36" s="83" t="str">
        <f>HYPERLINK("https://twitter.com/jennife39481653/status/1733186334825857167")</f>
        <v>https://twitter.com/jennife39481653/status/1733186334825857167</v>
      </c>
      <c r="AF36" s="79">
        <v>45268.754594907405</v>
      </c>
      <c r="AG36" s="85">
        <v>45268</v>
      </c>
      <c r="AH36" s="81" t="s">
        <v>710</v>
      </c>
      <c r="AI36" s="77" t="b">
        <v>0</v>
      </c>
      <c r="AJ36" s="77" t="s">
        <v>832</v>
      </c>
      <c r="AK36" s="77" t="s">
        <v>849</v>
      </c>
      <c r="AL36" s="77" t="s">
        <v>850</v>
      </c>
      <c r="AM36" s="77" t="s">
        <v>856</v>
      </c>
      <c r="AN36" s="77" t="s">
        <v>878</v>
      </c>
      <c r="AO36" s="77" t="s">
        <v>900</v>
      </c>
      <c r="AP36" s="77" t="s">
        <v>917</v>
      </c>
      <c r="AQ36" s="77"/>
      <c r="AR36" s="77"/>
      <c r="AS36" s="77"/>
      <c r="AT36" s="77"/>
      <c r="AU36" s="77"/>
      <c r="AV36" s="83" t="str">
        <f>HYPERLINK("https://pbs.twimg.com/profile_images/1683927772098621441/V-jD1C0H_normal.jpg")</f>
        <v>https://pbs.twimg.com/profile_images/1683927772098621441/V-jD1C0H_normal.jpg</v>
      </c>
      <c r="AW36" s="81" t="s">
        <v>963</v>
      </c>
      <c r="AX36" s="81" t="s">
        <v>963</v>
      </c>
      <c r="AY36" s="77"/>
      <c r="AZ36" s="81" t="s">
        <v>1210</v>
      </c>
      <c r="BA36" s="81" t="s">
        <v>1210</v>
      </c>
      <c r="BB36" s="81" t="s">
        <v>1210</v>
      </c>
      <c r="BC36" s="81" t="s">
        <v>963</v>
      </c>
      <c r="BD36" s="81" t="s">
        <v>1245</v>
      </c>
      <c r="BE36" s="77"/>
      <c r="BF36" s="77"/>
      <c r="BG36" s="77"/>
      <c r="BH36" s="77"/>
      <c r="BI36" s="77"/>
      <c r="BJ36">
        <v>1</v>
      </c>
      <c r="BK36" s="76" t="str">
        <f>REPLACE(INDEX(GroupVertices[Group],MATCH("~"&amp;Edges[[#This Row],[Vertex 1]],GroupVertices[Vertex],0)),1,1,"")</f>
        <v>59</v>
      </c>
      <c r="BL36" s="76" t="str">
        <f>REPLACE(INDEX(GroupVertices[Group],MATCH("~"&amp;Edges[[#This Row],[Vertex 2]],GroupVertices[Vertex],0)),1,1,"")</f>
        <v>59</v>
      </c>
      <c r="BM36" s="45">
        <v>0</v>
      </c>
      <c r="BN36" s="46">
        <v>0</v>
      </c>
      <c r="BO36" s="45">
        <v>3</v>
      </c>
      <c r="BP36" s="46">
        <v>17.647058823529413</v>
      </c>
      <c r="BQ36" s="45">
        <v>0</v>
      </c>
      <c r="BR36" s="46">
        <v>0</v>
      </c>
      <c r="BS36" s="45">
        <v>9</v>
      </c>
      <c r="BT36" s="46">
        <v>52.94117647058823</v>
      </c>
      <c r="BU36" s="45">
        <v>17</v>
      </c>
    </row>
    <row r="37" spans="1:73" ht="15">
      <c r="A37" s="61" t="s">
        <v>244</v>
      </c>
      <c r="B37" s="61" t="s">
        <v>359</v>
      </c>
      <c r="C37" s="62" t="s">
        <v>11652</v>
      </c>
      <c r="D37" s="63">
        <v>3</v>
      </c>
      <c r="E37" s="64" t="s">
        <v>132</v>
      </c>
      <c r="F37" s="65">
        <v>32</v>
      </c>
      <c r="G37" s="62"/>
      <c r="H37" s="66"/>
      <c r="I37" s="67"/>
      <c r="J37" s="67"/>
      <c r="K37" s="31" t="s">
        <v>65</v>
      </c>
      <c r="L37" s="75">
        <v>37</v>
      </c>
      <c r="M37" s="75"/>
      <c r="N37" s="69"/>
      <c r="O37" s="77" t="s">
        <v>437</v>
      </c>
      <c r="P37" s="79">
        <v>45095.77378472222</v>
      </c>
      <c r="Q37" s="77" t="s">
        <v>466</v>
      </c>
      <c r="R37" s="77">
        <v>0</v>
      </c>
      <c r="S37" s="77">
        <v>1</v>
      </c>
      <c r="T37" s="77">
        <v>2</v>
      </c>
      <c r="U37" s="77">
        <v>0</v>
      </c>
      <c r="V37" s="77">
        <v>42</v>
      </c>
      <c r="W37" s="77"/>
      <c r="X37" s="77"/>
      <c r="Y37" s="77"/>
      <c r="Z37" s="77" t="s">
        <v>626</v>
      </c>
      <c r="AA37" s="77"/>
      <c r="AB37" s="77"/>
      <c r="AC37" s="81" t="s">
        <v>674</v>
      </c>
      <c r="AD37" s="77" t="s">
        <v>686</v>
      </c>
      <c r="AE37" s="83" t="str">
        <f>HYPERLINK("https://twitter.com/khazeni/status/1670500185171173376")</f>
        <v>https://twitter.com/khazeni/status/1670500185171173376</v>
      </c>
      <c r="AF37" s="79">
        <v>45095.77378472222</v>
      </c>
      <c r="AG37" s="85">
        <v>45095</v>
      </c>
      <c r="AH37" s="81" t="s">
        <v>711</v>
      </c>
      <c r="AI37" s="77"/>
      <c r="AJ37" s="77" t="s">
        <v>828</v>
      </c>
      <c r="AK37" s="77" t="s">
        <v>849</v>
      </c>
      <c r="AL37" s="77" t="s">
        <v>850</v>
      </c>
      <c r="AM37" s="77" t="s">
        <v>852</v>
      </c>
      <c r="AN37" s="77" t="s">
        <v>874</v>
      </c>
      <c r="AO37" s="77" t="s">
        <v>896</v>
      </c>
      <c r="AP37" s="77" t="s">
        <v>917</v>
      </c>
      <c r="AQ37" s="77"/>
      <c r="AR37" s="77"/>
      <c r="AS37" s="77"/>
      <c r="AT37" s="77"/>
      <c r="AU37" s="77"/>
      <c r="AV37" s="83" t="str">
        <f>HYPERLINK("https://pbs.twimg.com/profile_images/2717311346/936f3d589111deee707b8c55aad2bc56_normal.jpeg")</f>
        <v>https://pbs.twimg.com/profile_images/2717311346/936f3d589111deee707b8c55aad2bc56_normal.jpeg</v>
      </c>
      <c r="AW37" s="81" t="s">
        <v>964</v>
      </c>
      <c r="AX37" s="81" t="s">
        <v>1094</v>
      </c>
      <c r="AY37" s="81" t="s">
        <v>1159</v>
      </c>
      <c r="AZ37" s="81" t="s">
        <v>1213</v>
      </c>
      <c r="BA37" s="81" t="s">
        <v>1210</v>
      </c>
      <c r="BB37" s="81" t="s">
        <v>1210</v>
      </c>
      <c r="BC37" s="81" t="s">
        <v>1213</v>
      </c>
      <c r="BD37" s="77">
        <v>47545907</v>
      </c>
      <c r="BE37" s="77"/>
      <c r="BF37" s="77"/>
      <c r="BG37" s="77"/>
      <c r="BH37" s="77"/>
      <c r="BI37" s="77"/>
      <c r="BJ37">
        <v>1</v>
      </c>
      <c r="BK37" s="76" t="str">
        <f>REPLACE(INDEX(GroupVertices[Group],MATCH("~"&amp;Edges[[#This Row],[Vertex 1]],GroupVertices[Vertex],0)),1,1,"")</f>
        <v>7</v>
      </c>
      <c r="BL37" s="76" t="str">
        <f>REPLACE(INDEX(GroupVertices[Group],MATCH("~"&amp;Edges[[#This Row],[Vertex 2]],GroupVertices[Vertex],0)),1,1,"")</f>
        <v>7</v>
      </c>
      <c r="BM37" s="45"/>
      <c r="BN37" s="46"/>
      <c r="BO37" s="45"/>
      <c r="BP37" s="46"/>
      <c r="BQ37" s="45"/>
      <c r="BR37" s="46"/>
      <c r="BS37" s="45"/>
      <c r="BT37" s="46"/>
      <c r="BU37" s="45"/>
    </row>
    <row r="38" spans="1:73" ht="15">
      <c r="A38" s="61" t="s">
        <v>244</v>
      </c>
      <c r="B38" s="61" t="s">
        <v>360</v>
      </c>
      <c r="C38" s="62" t="s">
        <v>11652</v>
      </c>
      <c r="D38" s="63">
        <v>3</v>
      </c>
      <c r="E38" s="64" t="s">
        <v>132</v>
      </c>
      <c r="F38" s="65">
        <v>32</v>
      </c>
      <c r="G38" s="62"/>
      <c r="H38" s="66"/>
      <c r="I38" s="67"/>
      <c r="J38" s="67"/>
      <c r="K38" s="31" t="s">
        <v>65</v>
      </c>
      <c r="L38" s="75">
        <v>38</v>
      </c>
      <c r="M38" s="75"/>
      <c r="N38" s="69"/>
      <c r="O38" s="77" t="s">
        <v>437</v>
      </c>
      <c r="P38" s="79">
        <v>45095.77378472222</v>
      </c>
      <c r="Q38" s="77" t="s">
        <v>466</v>
      </c>
      <c r="R38" s="77">
        <v>0</v>
      </c>
      <c r="S38" s="77">
        <v>1</v>
      </c>
      <c r="T38" s="77">
        <v>2</v>
      </c>
      <c r="U38" s="77">
        <v>0</v>
      </c>
      <c r="V38" s="77">
        <v>42</v>
      </c>
      <c r="W38" s="77"/>
      <c r="X38" s="77"/>
      <c r="Y38" s="77"/>
      <c r="Z38" s="77" t="s">
        <v>626</v>
      </c>
      <c r="AA38" s="77"/>
      <c r="AB38" s="77"/>
      <c r="AC38" s="81" t="s">
        <v>674</v>
      </c>
      <c r="AD38" s="77" t="s">
        <v>686</v>
      </c>
      <c r="AE38" s="83" t="str">
        <f>HYPERLINK("https://twitter.com/khazeni/status/1670500185171173376")</f>
        <v>https://twitter.com/khazeni/status/1670500185171173376</v>
      </c>
      <c r="AF38" s="79">
        <v>45095.77378472222</v>
      </c>
      <c r="AG38" s="85">
        <v>45095</v>
      </c>
      <c r="AH38" s="81" t="s">
        <v>711</v>
      </c>
      <c r="AI38" s="77"/>
      <c r="AJ38" s="77" t="s">
        <v>828</v>
      </c>
      <c r="AK38" s="77" t="s">
        <v>849</v>
      </c>
      <c r="AL38" s="77" t="s">
        <v>850</v>
      </c>
      <c r="AM38" s="77" t="s">
        <v>852</v>
      </c>
      <c r="AN38" s="77" t="s">
        <v>874</v>
      </c>
      <c r="AO38" s="77" t="s">
        <v>896</v>
      </c>
      <c r="AP38" s="77" t="s">
        <v>917</v>
      </c>
      <c r="AQ38" s="77"/>
      <c r="AR38" s="77"/>
      <c r="AS38" s="77"/>
      <c r="AT38" s="77"/>
      <c r="AU38" s="77"/>
      <c r="AV38" s="83" t="str">
        <f>HYPERLINK("https://pbs.twimg.com/profile_images/2717311346/936f3d589111deee707b8c55aad2bc56_normal.jpeg")</f>
        <v>https://pbs.twimg.com/profile_images/2717311346/936f3d589111deee707b8c55aad2bc56_normal.jpeg</v>
      </c>
      <c r="AW38" s="81" t="s">
        <v>964</v>
      </c>
      <c r="AX38" s="81" t="s">
        <v>1094</v>
      </c>
      <c r="AY38" s="81" t="s">
        <v>1159</v>
      </c>
      <c r="AZ38" s="81" t="s">
        <v>1213</v>
      </c>
      <c r="BA38" s="81" t="s">
        <v>1210</v>
      </c>
      <c r="BB38" s="81" t="s">
        <v>1210</v>
      </c>
      <c r="BC38" s="81" t="s">
        <v>1213</v>
      </c>
      <c r="BD38" s="77">
        <v>47545907</v>
      </c>
      <c r="BE38" s="77"/>
      <c r="BF38" s="77"/>
      <c r="BG38" s="77"/>
      <c r="BH38" s="77"/>
      <c r="BI38" s="77"/>
      <c r="BJ38">
        <v>1</v>
      </c>
      <c r="BK38" s="76" t="str">
        <f>REPLACE(INDEX(GroupVertices[Group],MATCH("~"&amp;Edges[[#This Row],[Vertex 1]],GroupVertices[Vertex],0)),1,1,"")</f>
        <v>7</v>
      </c>
      <c r="BL38" s="76" t="str">
        <f>REPLACE(INDEX(GroupVertices[Group],MATCH("~"&amp;Edges[[#This Row],[Vertex 2]],GroupVertices[Vertex],0)),1,1,"")</f>
        <v>7</v>
      </c>
      <c r="BM38" s="45"/>
      <c r="BN38" s="46"/>
      <c r="BO38" s="45"/>
      <c r="BP38" s="46"/>
      <c r="BQ38" s="45"/>
      <c r="BR38" s="46"/>
      <c r="BS38" s="45"/>
      <c r="BT38" s="46"/>
      <c r="BU38" s="45"/>
    </row>
    <row r="39" spans="1:73" ht="15">
      <c r="A39" s="61" t="s">
        <v>244</v>
      </c>
      <c r="B39" s="61" t="s">
        <v>361</v>
      </c>
      <c r="C39" s="62" t="s">
        <v>11652</v>
      </c>
      <c r="D39" s="63">
        <v>3</v>
      </c>
      <c r="E39" s="64" t="s">
        <v>132</v>
      </c>
      <c r="F39" s="65">
        <v>32</v>
      </c>
      <c r="G39" s="62"/>
      <c r="H39" s="66"/>
      <c r="I39" s="67"/>
      <c r="J39" s="67"/>
      <c r="K39" s="31" t="s">
        <v>65</v>
      </c>
      <c r="L39" s="75">
        <v>39</v>
      </c>
      <c r="M39" s="75"/>
      <c r="N39" s="69"/>
      <c r="O39" s="77" t="s">
        <v>437</v>
      </c>
      <c r="P39" s="79">
        <v>45095.77378472222</v>
      </c>
      <c r="Q39" s="77" t="s">
        <v>466</v>
      </c>
      <c r="R39" s="77">
        <v>0</v>
      </c>
      <c r="S39" s="77">
        <v>1</v>
      </c>
      <c r="T39" s="77">
        <v>2</v>
      </c>
      <c r="U39" s="77">
        <v>0</v>
      </c>
      <c r="V39" s="77">
        <v>42</v>
      </c>
      <c r="W39" s="77"/>
      <c r="X39" s="77"/>
      <c r="Y39" s="77"/>
      <c r="Z39" s="77" t="s">
        <v>626</v>
      </c>
      <c r="AA39" s="77"/>
      <c r="AB39" s="77"/>
      <c r="AC39" s="81" t="s">
        <v>674</v>
      </c>
      <c r="AD39" s="77" t="s">
        <v>686</v>
      </c>
      <c r="AE39" s="83" t="str">
        <f>HYPERLINK("https://twitter.com/khazeni/status/1670500185171173376")</f>
        <v>https://twitter.com/khazeni/status/1670500185171173376</v>
      </c>
      <c r="AF39" s="79">
        <v>45095.77378472222</v>
      </c>
      <c r="AG39" s="85">
        <v>45095</v>
      </c>
      <c r="AH39" s="81" t="s">
        <v>711</v>
      </c>
      <c r="AI39" s="77"/>
      <c r="AJ39" s="77" t="s">
        <v>828</v>
      </c>
      <c r="AK39" s="77" t="s">
        <v>849</v>
      </c>
      <c r="AL39" s="77" t="s">
        <v>850</v>
      </c>
      <c r="AM39" s="77" t="s">
        <v>852</v>
      </c>
      <c r="AN39" s="77" t="s">
        <v>874</v>
      </c>
      <c r="AO39" s="77" t="s">
        <v>896</v>
      </c>
      <c r="AP39" s="77" t="s">
        <v>917</v>
      </c>
      <c r="AQ39" s="77"/>
      <c r="AR39" s="77"/>
      <c r="AS39" s="77"/>
      <c r="AT39" s="77"/>
      <c r="AU39" s="77"/>
      <c r="AV39" s="83" t="str">
        <f>HYPERLINK("https://pbs.twimg.com/profile_images/2717311346/936f3d589111deee707b8c55aad2bc56_normal.jpeg")</f>
        <v>https://pbs.twimg.com/profile_images/2717311346/936f3d589111deee707b8c55aad2bc56_normal.jpeg</v>
      </c>
      <c r="AW39" s="81" t="s">
        <v>964</v>
      </c>
      <c r="AX39" s="81" t="s">
        <v>1094</v>
      </c>
      <c r="AY39" s="81" t="s">
        <v>1159</v>
      </c>
      <c r="AZ39" s="81" t="s">
        <v>1213</v>
      </c>
      <c r="BA39" s="81" t="s">
        <v>1210</v>
      </c>
      <c r="BB39" s="81" t="s">
        <v>1210</v>
      </c>
      <c r="BC39" s="81" t="s">
        <v>1213</v>
      </c>
      <c r="BD39" s="77">
        <v>47545907</v>
      </c>
      <c r="BE39" s="77"/>
      <c r="BF39" s="77"/>
      <c r="BG39" s="77"/>
      <c r="BH39" s="77"/>
      <c r="BI39" s="77"/>
      <c r="BJ39">
        <v>1</v>
      </c>
      <c r="BK39" s="76" t="str">
        <f>REPLACE(INDEX(GroupVertices[Group],MATCH("~"&amp;Edges[[#This Row],[Vertex 1]],GroupVertices[Vertex],0)),1,1,"")</f>
        <v>7</v>
      </c>
      <c r="BL39" s="76" t="str">
        <f>REPLACE(INDEX(GroupVertices[Group],MATCH("~"&amp;Edges[[#This Row],[Vertex 2]],GroupVertices[Vertex],0)),1,1,"")</f>
        <v>7</v>
      </c>
      <c r="BM39" s="45"/>
      <c r="BN39" s="46"/>
      <c r="BO39" s="45"/>
      <c r="BP39" s="46"/>
      <c r="BQ39" s="45"/>
      <c r="BR39" s="46"/>
      <c r="BS39" s="45"/>
      <c r="BT39" s="46"/>
      <c r="BU39" s="45"/>
    </row>
    <row r="40" spans="1:73" ht="15">
      <c r="A40" s="61" t="s">
        <v>244</v>
      </c>
      <c r="B40" s="61" t="s">
        <v>362</v>
      </c>
      <c r="C40" s="62" t="s">
        <v>11652</v>
      </c>
      <c r="D40" s="63">
        <v>3</v>
      </c>
      <c r="E40" s="64" t="s">
        <v>132</v>
      </c>
      <c r="F40" s="65">
        <v>32</v>
      </c>
      <c r="G40" s="62"/>
      <c r="H40" s="66"/>
      <c r="I40" s="67"/>
      <c r="J40" s="67"/>
      <c r="K40" s="31" t="s">
        <v>65</v>
      </c>
      <c r="L40" s="75">
        <v>40</v>
      </c>
      <c r="M40" s="75"/>
      <c r="N40" s="69"/>
      <c r="O40" s="77" t="s">
        <v>438</v>
      </c>
      <c r="P40" s="79">
        <v>45095.77378472222</v>
      </c>
      <c r="Q40" s="77" t="s">
        <v>466</v>
      </c>
      <c r="R40" s="77">
        <v>0</v>
      </c>
      <c r="S40" s="77">
        <v>1</v>
      </c>
      <c r="T40" s="77">
        <v>2</v>
      </c>
      <c r="U40" s="77">
        <v>0</v>
      </c>
      <c r="V40" s="77">
        <v>42</v>
      </c>
      <c r="W40" s="77"/>
      <c r="X40" s="77"/>
      <c r="Y40" s="77"/>
      <c r="Z40" s="77" t="s">
        <v>626</v>
      </c>
      <c r="AA40" s="77"/>
      <c r="AB40" s="77"/>
      <c r="AC40" s="81" t="s">
        <v>674</v>
      </c>
      <c r="AD40" s="77" t="s">
        <v>686</v>
      </c>
      <c r="AE40" s="83" t="str">
        <f>HYPERLINK("https://twitter.com/khazeni/status/1670500185171173376")</f>
        <v>https://twitter.com/khazeni/status/1670500185171173376</v>
      </c>
      <c r="AF40" s="79">
        <v>45095.77378472222</v>
      </c>
      <c r="AG40" s="85">
        <v>45095</v>
      </c>
      <c r="AH40" s="81" t="s">
        <v>711</v>
      </c>
      <c r="AI40" s="77"/>
      <c r="AJ40" s="77" t="s">
        <v>828</v>
      </c>
      <c r="AK40" s="77" t="s">
        <v>849</v>
      </c>
      <c r="AL40" s="77" t="s">
        <v>850</v>
      </c>
      <c r="AM40" s="77" t="s">
        <v>852</v>
      </c>
      <c r="AN40" s="77" t="s">
        <v>874</v>
      </c>
      <c r="AO40" s="77" t="s">
        <v>896</v>
      </c>
      <c r="AP40" s="77" t="s">
        <v>917</v>
      </c>
      <c r="AQ40" s="77"/>
      <c r="AR40" s="77"/>
      <c r="AS40" s="77"/>
      <c r="AT40" s="77"/>
      <c r="AU40" s="77"/>
      <c r="AV40" s="83" t="str">
        <f>HYPERLINK("https://pbs.twimg.com/profile_images/2717311346/936f3d589111deee707b8c55aad2bc56_normal.jpeg")</f>
        <v>https://pbs.twimg.com/profile_images/2717311346/936f3d589111deee707b8c55aad2bc56_normal.jpeg</v>
      </c>
      <c r="AW40" s="81" t="s">
        <v>964</v>
      </c>
      <c r="AX40" s="81" t="s">
        <v>1094</v>
      </c>
      <c r="AY40" s="81" t="s">
        <v>1159</v>
      </c>
      <c r="AZ40" s="81" t="s">
        <v>1213</v>
      </c>
      <c r="BA40" s="81" t="s">
        <v>1210</v>
      </c>
      <c r="BB40" s="81" t="s">
        <v>1210</v>
      </c>
      <c r="BC40" s="81" t="s">
        <v>1213</v>
      </c>
      <c r="BD40" s="77">
        <v>47545907</v>
      </c>
      <c r="BE40" s="77"/>
      <c r="BF40" s="77"/>
      <c r="BG40" s="77"/>
      <c r="BH40" s="77"/>
      <c r="BI40" s="77"/>
      <c r="BJ40">
        <v>1</v>
      </c>
      <c r="BK40" s="76" t="str">
        <f>REPLACE(INDEX(GroupVertices[Group],MATCH("~"&amp;Edges[[#This Row],[Vertex 1]],GroupVertices[Vertex],0)),1,1,"")</f>
        <v>7</v>
      </c>
      <c r="BL40" s="76" t="str">
        <f>REPLACE(INDEX(GroupVertices[Group],MATCH("~"&amp;Edges[[#This Row],[Vertex 2]],GroupVertices[Vertex],0)),1,1,"")</f>
        <v>7</v>
      </c>
      <c r="BM40" s="45">
        <v>2</v>
      </c>
      <c r="BN40" s="46">
        <v>4.166666666666667</v>
      </c>
      <c r="BO40" s="45">
        <v>1</v>
      </c>
      <c r="BP40" s="46">
        <v>2.0833333333333335</v>
      </c>
      <c r="BQ40" s="45">
        <v>0</v>
      </c>
      <c r="BR40" s="46">
        <v>0</v>
      </c>
      <c r="BS40" s="45">
        <v>26</v>
      </c>
      <c r="BT40" s="46">
        <v>54.166666666666664</v>
      </c>
      <c r="BU40" s="45">
        <v>48</v>
      </c>
    </row>
    <row r="41" spans="1:73" ht="15">
      <c r="A41" s="61" t="s">
        <v>245</v>
      </c>
      <c r="B41" s="61" t="s">
        <v>317</v>
      </c>
      <c r="C41" s="62" t="s">
        <v>11652</v>
      </c>
      <c r="D41" s="63">
        <v>3</v>
      </c>
      <c r="E41" s="64" t="s">
        <v>132</v>
      </c>
      <c r="F41" s="65">
        <v>32</v>
      </c>
      <c r="G41" s="62"/>
      <c r="H41" s="66"/>
      <c r="I41" s="67"/>
      <c r="J41" s="67"/>
      <c r="K41" s="31" t="s">
        <v>65</v>
      </c>
      <c r="L41" s="75">
        <v>41</v>
      </c>
      <c r="M41" s="75"/>
      <c r="N41" s="69"/>
      <c r="O41" s="77" t="s">
        <v>439</v>
      </c>
      <c r="P41" s="79">
        <v>45215.178298611114</v>
      </c>
      <c r="Q41" s="77" t="s">
        <v>467</v>
      </c>
      <c r="R41" s="77">
        <v>0</v>
      </c>
      <c r="S41" s="77">
        <v>8</v>
      </c>
      <c r="T41" s="77">
        <v>0</v>
      </c>
      <c r="U41" s="77">
        <v>0</v>
      </c>
      <c r="V41" s="77">
        <v>667</v>
      </c>
      <c r="W41" s="77"/>
      <c r="X41" s="77"/>
      <c r="Y41" s="77"/>
      <c r="Z41" s="77"/>
      <c r="AA41" s="77"/>
      <c r="AB41" s="77"/>
      <c r="AC41" s="81" t="s">
        <v>674</v>
      </c>
      <c r="AD41" s="77" t="s">
        <v>686</v>
      </c>
      <c r="AE41" s="83" t="str">
        <f>HYPERLINK("https://twitter.com/izi_kljucanin/status/1713770934107251164")</f>
        <v>https://twitter.com/izi_kljucanin/status/1713770934107251164</v>
      </c>
      <c r="AF41" s="79">
        <v>45215.178298611114</v>
      </c>
      <c r="AG41" s="85">
        <v>45215</v>
      </c>
      <c r="AH41" s="81" t="s">
        <v>712</v>
      </c>
      <c r="AI41" s="77"/>
      <c r="AJ41" s="77" t="s">
        <v>833</v>
      </c>
      <c r="AK41" s="77" t="s">
        <v>849</v>
      </c>
      <c r="AL41" s="77" t="s">
        <v>850</v>
      </c>
      <c r="AM41" s="77" t="s">
        <v>857</v>
      </c>
      <c r="AN41" s="77" t="s">
        <v>879</v>
      </c>
      <c r="AO41" s="77" t="s">
        <v>901</v>
      </c>
      <c r="AP41" s="77" t="s">
        <v>917</v>
      </c>
      <c r="AQ41" s="77"/>
      <c r="AR41" s="77"/>
      <c r="AS41" s="77"/>
      <c r="AT41" s="77"/>
      <c r="AU41" s="77"/>
      <c r="AV41" s="83" t="str">
        <f>HYPERLINK("https://pbs.twimg.com/profile_images/1550566428624961538/ZQRbRpAa_normal.jpg")</f>
        <v>https://pbs.twimg.com/profile_images/1550566428624961538/ZQRbRpAa_normal.jpg</v>
      </c>
      <c r="AW41" s="81" t="s">
        <v>965</v>
      </c>
      <c r="AX41" s="81" t="s">
        <v>965</v>
      </c>
      <c r="AY41" s="77"/>
      <c r="AZ41" s="81" t="s">
        <v>1210</v>
      </c>
      <c r="BA41" s="81" t="s">
        <v>1052</v>
      </c>
      <c r="BB41" s="81" t="s">
        <v>1210</v>
      </c>
      <c r="BC41" s="81" t="s">
        <v>1052</v>
      </c>
      <c r="BD41" s="77">
        <v>574698410</v>
      </c>
      <c r="BE41" s="77"/>
      <c r="BF41" s="77"/>
      <c r="BG41" s="77"/>
      <c r="BH41" s="77"/>
      <c r="BI41" s="77"/>
      <c r="BJ41">
        <v>1</v>
      </c>
      <c r="BK41" s="76" t="str">
        <f>REPLACE(INDEX(GroupVertices[Group],MATCH("~"&amp;Edges[[#This Row],[Vertex 1]],GroupVertices[Vertex],0)),1,1,"")</f>
        <v>12</v>
      </c>
      <c r="BL41" s="76" t="str">
        <f>REPLACE(INDEX(GroupVertices[Group],MATCH("~"&amp;Edges[[#This Row],[Vertex 2]],GroupVertices[Vertex],0)),1,1,"")</f>
        <v>12</v>
      </c>
      <c r="BM41" s="45">
        <v>1</v>
      </c>
      <c r="BN41" s="46">
        <v>2.272727272727273</v>
      </c>
      <c r="BO41" s="45">
        <v>4</v>
      </c>
      <c r="BP41" s="46">
        <v>9.090909090909092</v>
      </c>
      <c r="BQ41" s="45">
        <v>0</v>
      </c>
      <c r="BR41" s="46">
        <v>0</v>
      </c>
      <c r="BS41" s="45">
        <v>16</v>
      </c>
      <c r="BT41" s="46">
        <v>36.36363636363637</v>
      </c>
      <c r="BU41" s="45">
        <v>44</v>
      </c>
    </row>
    <row r="42" spans="1:73" ht="15">
      <c r="A42" s="61" t="s">
        <v>246</v>
      </c>
      <c r="B42" s="61" t="s">
        <v>363</v>
      </c>
      <c r="C42" s="62" t="s">
        <v>1410</v>
      </c>
      <c r="D42" s="63">
        <v>10</v>
      </c>
      <c r="E42" s="64" t="s">
        <v>132</v>
      </c>
      <c r="F42" s="65">
        <v>10</v>
      </c>
      <c r="G42" s="62"/>
      <c r="H42" s="66"/>
      <c r="I42" s="67"/>
      <c r="J42" s="67"/>
      <c r="K42" s="31" t="s">
        <v>65</v>
      </c>
      <c r="L42" s="75">
        <v>42</v>
      </c>
      <c r="M42" s="75"/>
      <c r="N42" s="69"/>
      <c r="O42" s="77" t="s">
        <v>438</v>
      </c>
      <c r="P42" s="79">
        <v>45314.83037037037</v>
      </c>
      <c r="Q42" s="77" t="s">
        <v>468</v>
      </c>
      <c r="R42" s="77">
        <v>0</v>
      </c>
      <c r="S42" s="77">
        <v>0</v>
      </c>
      <c r="T42" s="77">
        <v>1</v>
      </c>
      <c r="U42" s="77">
        <v>0</v>
      </c>
      <c r="V42" s="77">
        <v>55</v>
      </c>
      <c r="W42" s="77"/>
      <c r="X42" s="77"/>
      <c r="Y42" s="77"/>
      <c r="Z42" s="77" t="s">
        <v>627</v>
      </c>
      <c r="AA42" s="77"/>
      <c r="AB42" s="77"/>
      <c r="AC42" s="81" t="s">
        <v>675</v>
      </c>
      <c r="AD42" s="77" t="s">
        <v>686</v>
      </c>
      <c r="AE42" s="83" t="str">
        <f>HYPERLINK("https://twitter.com/sfmission2/status/1749883635510223077")</f>
        <v>https://twitter.com/sfmission2/status/1749883635510223077</v>
      </c>
      <c r="AF42" s="79">
        <v>45314.83037037037</v>
      </c>
      <c r="AG42" s="85">
        <v>45314</v>
      </c>
      <c r="AH42" s="81" t="s">
        <v>713</v>
      </c>
      <c r="AI42" s="77"/>
      <c r="AJ42" s="77"/>
      <c r="AK42" s="77"/>
      <c r="AL42" s="77"/>
      <c r="AM42" s="77"/>
      <c r="AN42" s="77"/>
      <c r="AO42" s="77"/>
      <c r="AP42" s="77"/>
      <c r="AQ42" s="77"/>
      <c r="AR42" s="77"/>
      <c r="AS42" s="77"/>
      <c r="AT42" s="77"/>
      <c r="AU42" s="77"/>
      <c r="AV42" s="83" t="str">
        <f>HYPERLINK("https://pbs.twimg.com/profile_images/1691930509339967488/75q8qq0c_normal.jpg")</f>
        <v>https://pbs.twimg.com/profile_images/1691930509339967488/75q8qq0c_normal.jpg</v>
      </c>
      <c r="AW42" s="81" t="s">
        <v>966</v>
      </c>
      <c r="AX42" s="81" t="s">
        <v>1095</v>
      </c>
      <c r="AY42" s="81" t="s">
        <v>1160</v>
      </c>
      <c r="AZ42" s="81" t="s">
        <v>1214</v>
      </c>
      <c r="BA42" s="81" t="s">
        <v>1210</v>
      </c>
      <c r="BB42" s="81" t="s">
        <v>1210</v>
      </c>
      <c r="BC42" s="81" t="s">
        <v>1214</v>
      </c>
      <c r="BD42" s="81" t="s">
        <v>1246</v>
      </c>
      <c r="BE42" s="77"/>
      <c r="BF42" s="77"/>
      <c r="BG42" s="77"/>
      <c r="BH42" s="77"/>
      <c r="BI42" s="77"/>
      <c r="BJ42">
        <v>2</v>
      </c>
      <c r="BK42" s="76" t="str">
        <f>REPLACE(INDEX(GroupVertices[Group],MATCH("~"&amp;Edges[[#This Row],[Vertex 1]],GroupVertices[Vertex],0)),1,1,"")</f>
        <v>2</v>
      </c>
      <c r="BL42" s="76" t="str">
        <f>REPLACE(INDEX(GroupVertices[Group],MATCH("~"&amp;Edges[[#This Row],[Vertex 2]],GroupVertices[Vertex],0)),1,1,"")</f>
        <v>2</v>
      </c>
      <c r="BM42" s="45"/>
      <c r="BN42" s="46"/>
      <c r="BO42" s="45"/>
      <c r="BP42" s="46"/>
      <c r="BQ42" s="45"/>
      <c r="BR42" s="46"/>
      <c r="BS42" s="45"/>
      <c r="BT42" s="46"/>
      <c r="BU42" s="45"/>
    </row>
    <row r="43" spans="1:73" ht="15">
      <c r="A43" s="61" t="s">
        <v>246</v>
      </c>
      <c r="B43" s="61" t="s">
        <v>363</v>
      </c>
      <c r="C43" s="62" t="s">
        <v>1410</v>
      </c>
      <c r="D43" s="63">
        <v>10</v>
      </c>
      <c r="E43" s="64" t="s">
        <v>132</v>
      </c>
      <c r="F43" s="65">
        <v>10</v>
      </c>
      <c r="G43" s="62"/>
      <c r="H43" s="66"/>
      <c r="I43" s="67"/>
      <c r="J43" s="67"/>
      <c r="K43" s="31" t="s">
        <v>65</v>
      </c>
      <c r="L43" s="75">
        <v>43</v>
      </c>
      <c r="M43" s="75"/>
      <c r="N43" s="69"/>
      <c r="O43" s="77" t="s">
        <v>438</v>
      </c>
      <c r="P43" s="79">
        <v>45314.82480324074</v>
      </c>
      <c r="Q43" s="77" t="s">
        <v>469</v>
      </c>
      <c r="R43" s="77">
        <v>0</v>
      </c>
      <c r="S43" s="77">
        <v>0</v>
      </c>
      <c r="T43" s="77">
        <v>1</v>
      </c>
      <c r="U43" s="77">
        <v>0</v>
      </c>
      <c r="V43" s="77">
        <v>48</v>
      </c>
      <c r="W43" s="77"/>
      <c r="X43" s="77"/>
      <c r="Y43" s="77"/>
      <c r="Z43" s="77" t="s">
        <v>627</v>
      </c>
      <c r="AA43" s="77"/>
      <c r="AB43" s="77"/>
      <c r="AC43" s="81" t="s">
        <v>675</v>
      </c>
      <c r="AD43" s="77" t="s">
        <v>686</v>
      </c>
      <c r="AE43" s="83" t="str">
        <f>HYPERLINK("https://twitter.com/sfmission2/status/1749881619031441597")</f>
        <v>https://twitter.com/sfmission2/status/1749881619031441597</v>
      </c>
      <c r="AF43" s="79">
        <v>45314.82480324074</v>
      </c>
      <c r="AG43" s="85">
        <v>45314</v>
      </c>
      <c r="AH43" s="81" t="s">
        <v>714</v>
      </c>
      <c r="AI43" s="77"/>
      <c r="AJ43" s="77"/>
      <c r="AK43" s="77"/>
      <c r="AL43" s="77"/>
      <c r="AM43" s="77"/>
      <c r="AN43" s="77"/>
      <c r="AO43" s="77"/>
      <c r="AP43" s="77"/>
      <c r="AQ43" s="77"/>
      <c r="AR43" s="77"/>
      <c r="AS43" s="77"/>
      <c r="AT43" s="77"/>
      <c r="AU43" s="77"/>
      <c r="AV43" s="83" t="str">
        <f>HYPERLINK("https://pbs.twimg.com/profile_images/1691930509339967488/75q8qq0c_normal.jpg")</f>
        <v>https://pbs.twimg.com/profile_images/1691930509339967488/75q8qq0c_normal.jpg</v>
      </c>
      <c r="AW43" s="81" t="s">
        <v>967</v>
      </c>
      <c r="AX43" s="81" t="s">
        <v>1095</v>
      </c>
      <c r="AY43" s="81" t="s">
        <v>1160</v>
      </c>
      <c r="AZ43" s="81" t="s">
        <v>1215</v>
      </c>
      <c r="BA43" s="81" t="s">
        <v>1210</v>
      </c>
      <c r="BB43" s="81" t="s">
        <v>1210</v>
      </c>
      <c r="BC43" s="81" t="s">
        <v>1215</v>
      </c>
      <c r="BD43" s="81" t="s">
        <v>1246</v>
      </c>
      <c r="BE43" s="77"/>
      <c r="BF43" s="77"/>
      <c r="BG43" s="77"/>
      <c r="BH43" s="77"/>
      <c r="BI43" s="77"/>
      <c r="BJ43">
        <v>2</v>
      </c>
      <c r="BK43" s="76" t="str">
        <f>REPLACE(INDEX(GroupVertices[Group],MATCH("~"&amp;Edges[[#This Row],[Vertex 1]],GroupVertices[Vertex],0)),1,1,"")</f>
        <v>2</v>
      </c>
      <c r="BL43" s="76" t="str">
        <f>REPLACE(INDEX(GroupVertices[Group],MATCH("~"&amp;Edges[[#This Row],[Vertex 2]],GroupVertices[Vertex],0)),1,1,"")</f>
        <v>2</v>
      </c>
      <c r="BM43" s="45"/>
      <c r="BN43" s="46"/>
      <c r="BO43" s="45"/>
      <c r="BP43" s="46"/>
      <c r="BQ43" s="45"/>
      <c r="BR43" s="46"/>
      <c r="BS43" s="45"/>
      <c r="BT43" s="46"/>
      <c r="BU43" s="45"/>
    </row>
    <row r="44" spans="1:73" ht="15">
      <c r="A44" s="61" t="s">
        <v>246</v>
      </c>
      <c r="B44" s="61" t="s">
        <v>350</v>
      </c>
      <c r="C44" s="62" t="s">
        <v>1410</v>
      </c>
      <c r="D44" s="63">
        <v>10</v>
      </c>
      <c r="E44" s="64" t="s">
        <v>132</v>
      </c>
      <c r="F44" s="65">
        <v>10</v>
      </c>
      <c r="G44" s="62"/>
      <c r="H44" s="66"/>
      <c r="I44" s="67"/>
      <c r="J44" s="67"/>
      <c r="K44" s="31" t="s">
        <v>65</v>
      </c>
      <c r="L44" s="75">
        <v>44</v>
      </c>
      <c r="M44" s="75"/>
      <c r="N44" s="69"/>
      <c r="O44" s="77" t="s">
        <v>437</v>
      </c>
      <c r="P44" s="79">
        <v>45314.83037037037</v>
      </c>
      <c r="Q44" s="77" t="s">
        <v>468</v>
      </c>
      <c r="R44" s="77">
        <v>0</v>
      </c>
      <c r="S44" s="77">
        <v>0</v>
      </c>
      <c r="T44" s="77">
        <v>1</v>
      </c>
      <c r="U44" s="77">
        <v>0</v>
      </c>
      <c r="V44" s="77">
        <v>55</v>
      </c>
      <c r="W44" s="77"/>
      <c r="X44" s="77"/>
      <c r="Y44" s="77"/>
      <c r="Z44" s="77" t="s">
        <v>627</v>
      </c>
      <c r="AA44" s="77"/>
      <c r="AB44" s="77"/>
      <c r="AC44" s="81" t="s">
        <v>675</v>
      </c>
      <c r="AD44" s="77" t="s">
        <v>686</v>
      </c>
      <c r="AE44" s="83" t="str">
        <f>HYPERLINK("https://twitter.com/sfmission2/status/1749883635510223077")</f>
        <v>https://twitter.com/sfmission2/status/1749883635510223077</v>
      </c>
      <c r="AF44" s="79">
        <v>45314.83037037037</v>
      </c>
      <c r="AG44" s="85">
        <v>45314</v>
      </c>
      <c r="AH44" s="81" t="s">
        <v>713</v>
      </c>
      <c r="AI44" s="77"/>
      <c r="AJ44" s="77"/>
      <c r="AK44" s="77"/>
      <c r="AL44" s="77"/>
      <c r="AM44" s="77"/>
      <c r="AN44" s="77"/>
      <c r="AO44" s="77"/>
      <c r="AP44" s="77"/>
      <c r="AQ44" s="77"/>
      <c r="AR44" s="77"/>
      <c r="AS44" s="77"/>
      <c r="AT44" s="77"/>
      <c r="AU44" s="77"/>
      <c r="AV44" s="83" t="str">
        <f>HYPERLINK("https://pbs.twimg.com/profile_images/1691930509339967488/75q8qq0c_normal.jpg")</f>
        <v>https://pbs.twimg.com/profile_images/1691930509339967488/75q8qq0c_normal.jpg</v>
      </c>
      <c r="AW44" s="81" t="s">
        <v>966</v>
      </c>
      <c r="AX44" s="81" t="s">
        <v>1095</v>
      </c>
      <c r="AY44" s="81" t="s">
        <v>1160</v>
      </c>
      <c r="AZ44" s="81" t="s">
        <v>1214</v>
      </c>
      <c r="BA44" s="81" t="s">
        <v>1210</v>
      </c>
      <c r="BB44" s="81" t="s">
        <v>1210</v>
      </c>
      <c r="BC44" s="81" t="s">
        <v>1214</v>
      </c>
      <c r="BD44" s="81" t="s">
        <v>1246</v>
      </c>
      <c r="BE44" s="77"/>
      <c r="BF44" s="77"/>
      <c r="BG44" s="77"/>
      <c r="BH44" s="77"/>
      <c r="BI44" s="77"/>
      <c r="BJ44">
        <v>2</v>
      </c>
      <c r="BK44" s="76" t="str">
        <f>REPLACE(INDEX(GroupVertices[Group],MATCH("~"&amp;Edges[[#This Row],[Vertex 1]],GroupVertices[Vertex],0)),1,1,"")</f>
        <v>2</v>
      </c>
      <c r="BL44" s="76" t="str">
        <f>REPLACE(INDEX(GroupVertices[Group],MATCH("~"&amp;Edges[[#This Row],[Vertex 2]],GroupVertices[Vertex],0)),1,1,"")</f>
        <v>2</v>
      </c>
      <c r="BM44" s="45"/>
      <c r="BN44" s="46"/>
      <c r="BO44" s="45"/>
      <c r="BP44" s="46"/>
      <c r="BQ44" s="45"/>
      <c r="BR44" s="46"/>
      <c r="BS44" s="45"/>
      <c r="BT44" s="46"/>
      <c r="BU44" s="45"/>
    </row>
    <row r="45" spans="1:73" ht="15">
      <c r="A45" s="61" t="s">
        <v>246</v>
      </c>
      <c r="B45" s="61" t="s">
        <v>298</v>
      </c>
      <c r="C45" s="62" t="s">
        <v>1410</v>
      </c>
      <c r="D45" s="63">
        <v>10</v>
      </c>
      <c r="E45" s="64" t="s">
        <v>132</v>
      </c>
      <c r="F45" s="65">
        <v>10</v>
      </c>
      <c r="G45" s="62"/>
      <c r="H45" s="66"/>
      <c r="I45" s="67"/>
      <c r="J45" s="67"/>
      <c r="K45" s="31" t="s">
        <v>65</v>
      </c>
      <c r="L45" s="75">
        <v>45</v>
      </c>
      <c r="M45" s="75"/>
      <c r="N45" s="69"/>
      <c r="O45" s="77" t="s">
        <v>437</v>
      </c>
      <c r="P45" s="79">
        <v>45314.83037037037</v>
      </c>
      <c r="Q45" s="77" t="s">
        <v>468</v>
      </c>
      <c r="R45" s="77">
        <v>0</v>
      </c>
      <c r="S45" s="77">
        <v>0</v>
      </c>
      <c r="T45" s="77">
        <v>1</v>
      </c>
      <c r="U45" s="77">
        <v>0</v>
      </c>
      <c r="V45" s="77">
        <v>55</v>
      </c>
      <c r="W45" s="77"/>
      <c r="X45" s="77"/>
      <c r="Y45" s="77"/>
      <c r="Z45" s="77" t="s">
        <v>627</v>
      </c>
      <c r="AA45" s="77"/>
      <c r="AB45" s="77"/>
      <c r="AC45" s="81" t="s">
        <v>675</v>
      </c>
      <c r="AD45" s="77" t="s">
        <v>686</v>
      </c>
      <c r="AE45" s="83" t="str">
        <f>HYPERLINK("https://twitter.com/sfmission2/status/1749883635510223077")</f>
        <v>https://twitter.com/sfmission2/status/1749883635510223077</v>
      </c>
      <c r="AF45" s="79">
        <v>45314.83037037037</v>
      </c>
      <c r="AG45" s="85">
        <v>45314</v>
      </c>
      <c r="AH45" s="81" t="s">
        <v>713</v>
      </c>
      <c r="AI45" s="77"/>
      <c r="AJ45" s="77"/>
      <c r="AK45" s="77"/>
      <c r="AL45" s="77"/>
      <c r="AM45" s="77"/>
      <c r="AN45" s="77"/>
      <c r="AO45" s="77"/>
      <c r="AP45" s="77"/>
      <c r="AQ45" s="77"/>
      <c r="AR45" s="77"/>
      <c r="AS45" s="77"/>
      <c r="AT45" s="77"/>
      <c r="AU45" s="77"/>
      <c r="AV45" s="83" t="str">
        <f>HYPERLINK("https://pbs.twimg.com/profile_images/1691930509339967488/75q8qq0c_normal.jpg")</f>
        <v>https://pbs.twimg.com/profile_images/1691930509339967488/75q8qq0c_normal.jpg</v>
      </c>
      <c r="AW45" s="81" t="s">
        <v>966</v>
      </c>
      <c r="AX45" s="81" t="s">
        <v>1095</v>
      </c>
      <c r="AY45" s="81" t="s">
        <v>1160</v>
      </c>
      <c r="AZ45" s="81" t="s">
        <v>1214</v>
      </c>
      <c r="BA45" s="81" t="s">
        <v>1210</v>
      </c>
      <c r="BB45" s="81" t="s">
        <v>1210</v>
      </c>
      <c r="BC45" s="81" t="s">
        <v>1214</v>
      </c>
      <c r="BD45" s="81" t="s">
        <v>1246</v>
      </c>
      <c r="BE45" s="77"/>
      <c r="BF45" s="77"/>
      <c r="BG45" s="77"/>
      <c r="BH45" s="77"/>
      <c r="BI45" s="77"/>
      <c r="BJ45">
        <v>2</v>
      </c>
      <c r="BK45" s="76" t="str">
        <f>REPLACE(INDEX(GroupVertices[Group],MATCH("~"&amp;Edges[[#This Row],[Vertex 1]],GroupVertices[Vertex],0)),1,1,"")</f>
        <v>2</v>
      </c>
      <c r="BL45" s="76" t="str">
        <f>REPLACE(INDEX(GroupVertices[Group],MATCH("~"&amp;Edges[[#This Row],[Vertex 2]],GroupVertices[Vertex],0)),1,1,"")</f>
        <v>2</v>
      </c>
      <c r="BM45" s="45">
        <v>1</v>
      </c>
      <c r="BN45" s="46">
        <v>2.1739130434782608</v>
      </c>
      <c r="BO45" s="45">
        <v>2</v>
      </c>
      <c r="BP45" s="46">
        <v>4.3478260869565215</v>
      </c>
      <c r="BQ45" s="45">
        <v>0</v>
      </c>
      <c r="BR45" s="46">
        <v>0</v>
      </c>
      <c r="BS45" s="45">
        <v>19</v>
      </c>
      <c r="BT45" s="46">
        <v>41.30434782608695</v>
      </c>
      <c r="BU45" s="45">
        <v>46</v>
      </c>
    </row>
    <row r="46" spans="1:73" ht="15">
      <c r="A46" s="61" t="s">
        <v>246</v>
      </c>
      <c r="B46" s="61" t="s">
        <v>350</v>
      </c>
      <c r="C46" s="62" t="s">
        <v>1410</v>
      </c>
      <c r="D46" s="63">
        <v>10</v>
      </c>
      <c r="E46" s="64" t="s">
        <v>132</v>
      </c>
      <c r="F46" s="65">
        <v>10</v>
      </c>
      <c r="G46" s="62"/>
      <c r="H46" s="66"/>
      <c r="I46" s="67"/>
      <c r="J46" s="67"/>
      <c r="K46" s="31" t="s">
        <v>65</v>
      </c>
      <c r="L46" s="75">
        <v>46</v>
      </c>
      <c r="M46" s="75"/>
      <c r="N46" s="69"/>
      <c r="O46" s="77" t="s">
        <v>437</v>
      </c>
      <c r="P46" s="79">
        <v>45314.82480324074</v>
      </c>
      <c r="Q46" s="77" t="s">
        <v>469</v>
      </c>
      <c r="R46" s="77">
        <v>0</v>
      </c>
      <c r="S46" s="77">
        <v>0</v>
      </c>
      <c r="T46" s="77">
        <v>1</v>
      </c>
      <c r="U46" s="77">
        <v>0</v>
      </c>
      <c r="V46" s="77">
        <v>48</v>
      </c>
      <c r="W46" s="77"/>
      <c r="X46" s="77"/>
      <c r="Y46" s="77"/>
      <c r="Z46" s="77" t="s">
        <v>627</v>
      </c>
      <c r="AA46" s="77"/>
      <c r="AB46" s="77"/>
      <c r="AC46" s="81" t="s">
        <v>675</v>
      </c>
      <c r="AD46" s="77" t="s">
        <v>686</v>
      </c>
      <c r="AE46" s="83" t="str">
        <f>HYPERLINK("https://twitter.com/sfmission2/status/1749881619031441597")</f>
        <v>https://twitter.com/sfmission2/status/1749881619031441597</v>
      </c>
      <c r="AF46" s="79">
        <v>45314.82480324074</v>
      </c>
      <c r="AG46" s="85">
        <v>45314</v>
      </c>
      <c r="AH46" s="81" t="s">
        <v>714</v>
      </c>
      <c r="AI46" s="77"/>
      <c r="AJ46" s="77"/>
      <c r="AK46" s="77"/>
      <c r="AL46" s="77"/>
      <c r="AM46" s="77"/>
      <c r="AN46" s="77"/>
      <c r="AO46" s="77"/>
      <c r="AP46" s="77"/>
      <c r="AQ46" s="77"/>
      <c r="AR46" s="77"/>
      <c r="AS46" s="77"/>
      <c r="AT46" s="77"/>
      <c r="AU46" s="77"/>
      <c r="AV46" s="83" t="str">
        <f>HYPERLINK("https://pbs.twimg.com/profile_images/1691930509339967488/75q8qq0c_normal.jpg")</f>
        <v>https://pbs.twimg.com/profile_images/1691930509339967488/75q8qq0c_normal.jpg</v>
      </c>
      <c r="AW46" s="81" t="s">
        <v>967</v>
      </c>
      <c r="AX46" s="81" t="s">
        <v>1095</v>
      </c>
      <c r="AY46" s="81" t="s">
        <v>1160</v>
      </c>
      <c r="AZ46" s="81" t="s">
        <v>1215</v>
      </c>
      <c r="BA46" s="81" t="s">
        <v>1210</v>
      </c>
      <c r="BB46" s="81" t="s">
        <v>1210</v>
      </c>
      <c r="BC46" s="81" t="s">
        <v>1215</v>
      </c>
      <c r="BD46" s="81" t="s">
        <v>1246</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c r="BM46" s="45"/>
      <c r="BN46" s="46"/>
      <c r="BO46" s="45"/>
      <c r="BP46" s="46"/>
      <c r="BQ46" s="45"/>
      <c r="BR46" s="46"/>
      <c r="BS46" s="45"/>
      <c r="BT46" s="46"/>
      <c r="BU46" s="45"/>
    </row>
    <row r="47" spans="1:73" ht="15">
      <c r="A47" s="61" t="s">
        <v>246</v>
      </c>
      <c r="B47" s="61" t="s">
        <v>298</v>
      </c>
      <c r="C47" s="62" t="s">
        <v>1410</v>
      </c>
      <c r="D47" s="63">
        <v>10</v>
      </c>
      <c r="E47" s="64" t="s">
        <v>132</v>
      </c>
      <c r="F47" s="65">
        <v>10</v>
      </c>
      <c r="G47" s="62"/>
      <c r="H47" s="66"/>
      <c r="I47" s="67"/>
      <c r="J47" s="67"/>
      <c r="K47" s="31" t="s">
        <v>65</v>
      </c>
      <c r="L47" s="75">
        <v>47</v>
      </c>
      <c r="M47" s="75"/>
      <c r="N47" s="69"/>
      <c r="O47" s="77" t="s">
        <v>437</v>
      </c>
      <c r="P47" s="79">
        <v>45314.82480324074</v>
      </c>
      <c r="Q47" s="77" t="s">
        <v>469</v>
      </c>
      <c r="R47" s="77">
        <v>0</v>
      </c>
      <c r="S47" s="77">
        <v>0</v>
      </c>
      <c r="T47" s="77">
        <v>1</v>
      </c>
      <c r="U47" s="77">
        <v>0</v>
      </c>
      <c r="V47" s="77">
        <v>48</v>
      </c>
      <c r="W47" s="77"/>
      <c r="X47" s="77"/>
      <c r="Y47" s="77"/>
      <c r="Z47" s="77" t="s">
        <v>627</v>
      </c>
      <c r="AA47" s="77"/>
      <c r="AB47" s="77"/>
      <c r="AC47" s="81" t="s">
        <v>675</v>
      </c>
      <c r="AD47" s="77" t="s">
        <v>686</v>
      </c>
      <c r="AE47" s="83" t="str">
        <f>HYPERLINK("https://twitter.com/sfmission2/status/1749881619031441597")</f>
        <v>https://twitter.com/sfmission2/status/1749881619031441597</v>
      </c>
      <c r="AF47" s="79">
        <v>45314.82480324074</v>
      </c>
      <c r="AG47" s="85">
        <v>45314</v>
      </c>
      <c r="AH47" s="81" t="s">
        <v>714</v>
      </c>
      <c r="AI47" s="77"/>
      <c r="AJ47" s="77"/>
      <c r="AK47" s="77"/>
      <c r="AL47" s="77"/>
      <c r="AM47" s="77"/>
      <c r="AN47" s="77"/>
      <c r="AO47" s="77"/>
      <c r="AP47" s="77"/>
      <c r="AQ47" s="77"/>
      <c r="AR47" s="77"/>
      <c r="AS47" s="77"/>
      <c r="AT47" s="77"/>
      <c r="AU47" s="77"/>
      <c r="AV47" s="83" t="str">
        <f>HYPERLINK("https://pbs.twimg.com/profile_images/1691930509339967488/75q8qq0c_normal.jpg")</f>
        <v>https://pbs.twimg.com/profile_images/1691930509339967488/75q8qq0c_normal.jpg</v>
      </c>
      <c r="AW47" s="81" t="s">
        <v>967</v>
      </c>
      <c r="AX47" s="81" t="s">
        <v>1095</v>
      </c>
      <c r="AY47" s="81" t="s">
        <v>1160</v>
      </c>
      <c r="AZ47" s="81" t="s">
        <v>1215</v>
      </c>
      <c r="BA47" s="81" t="s">
        <v>1210</v>
      </c>
      <c r="BB47" s="81" t="s">
        <v>1210</v>
      </c>
      <c r="BC47" s="81" t="s">
        <v>1215</v>
      </c>
      <c r="BD47" s="81" t="s">
        <v>1246</v>
      </c>
      <c r="BE47" s="77"/>
      <c r="BF47" s="77"/>
      <c r="BG47" s="77"/>
      <c r="BH47" s="77"/>
      <c r="BI47" s="77"/>
      <c r="BJ47">
        <v>2</v>
      </c>
      <c r="BK47" s="76" t="str">
        <f>REPLACE(INDEX(GroupVertices[Group],MATCH("~"&amp;Edges[[#This Row],[Vertex 1]],GroupVertices[Vertex],0)),1,1,"")</f>
        <v>2</v>
      </c>
      <c r="BL47" s="76" t="str">
        <f>REPLACE(INDEX(GroupVertices[Group],MATCH("~"&amp;Edges[[#This Row],[Vertex 2]],GroupVertices[Vertex],0)),1,1,"")</f>
        <v>2</v>
      </c>
      <c r="BM47" s="45">
        <v>1</v>
      </c>
      <c r="BN47" s="46">
        <v>5.555555555555555</v>
      </c>
      <c r="BO47" s="45">
        <v>1</v>
      </c>
      <c r="BP47" s="46">
        <v>5.555555555555555</v>
      </c>
      <c r="BQ47" s="45">
        <v>0</v>
      </c>
      <c r="BR47" s="46">
        <v>0</v>
      </c>
      <c r="BS47" s="45">
        <v>11</v>
      </c>
      <c r="BT47" s="46">
        <v>61.111111111111114</v>
      </c>
      <c r="BU47" s="45">
        <v>18</v>
      </c>
    </row>
    <row r="48" spans="1:73" ht="15">
      <c r="A48" s="61" t="s">
        <v>247</v>
      </c>
      <c r="B48" s="61" t="s">
        <v>247</v>
      </c>
      <c r="C48" s="62" t="s">
        <v>11652</v>
      </c>
      <c r="D48" s="63">
        <v>3</v>
      </c>
      <c r="E48" s="64" t="s">
        <v>132</v>
      </c>
      <c r="F48" s="65">
        <v>32</v>
      </c>
      <c r="G48" s="62"/>
      <c r="H48" s="66"/>
      <c r="I48" s="67"/>
      <c r="J48" s="67"/>
      <c r="K48" s="31" t="s">
        <v>65</v>
      </c>
      <c r="L48" s="75">
        <v>48</v>
      </c>
      <c r="M48" s="75"/>
      <c r="N48" s="69"/>
      <c r="O48" s="77" t="s">
        <v>178</v>
      </c>
      <c r="P48" s="79">
        <v>45318.80951388889</v>
      </c>
      <c r="Q48" s="77" t="s">
        <v>470</v>
      </c>
      <c r="R48" s="77">
        <v>0</v>
      </c>
      <c r="S48" s="77">
        <v>1</v>
      </c>
      <c r="T48" s="77">
        <v>0</v>
      </c>
      <c r="U48" s="77">
        <v>0</v>
      </c>
      <c r="V48" s="77">
        <v>117</v>
      </c>
      <c r="W48" s="77"/>
      <c r="X48" s="77"/>
      <c r="Y48" s="77"/>
      <c r="Z48" s="77"/>
      <c r="AA48" s="77"/>
      <c r="AB48" s="77"/>
      <c r="AC48" s="81" t="s">
        <v>674</v>
      </c>
      <c r="AD48" s="77" t="s">
        <v>686</v>
      </c>
      <c r="AE48" s="83" t="str">
        <f>HYPERLINK("https://twitter.com/samfacto/status/1751325628740292758")</f>
        <v>https://twitter.com/samfacto/status/1751325628740292758</v>
      </c>
      <c r="AF48" s="79">
        <v>45318.80951388889</v>
      </c>
      <c r="AG48" s="85">
        <v>45318</v>
      </c>
      <c r="AH48" s="81" t="s">
        <v>715</v>
      </c>
      <c r="AI48" s="77"/>
      <c r="AJ48" s="77"/>
      <c r="AK48" s="77"/>
      <c r="AL48" s="77"/>
      <c r="AM48" s="77"/>
      <c r="AN48" s="77"/>
      <c r="AO48" s="77"/>
      <c r="AP48" s="77"/>
      <c r="AQ48" s="77"/>
      <c r="AR48" s="77"/>
      <c r="AS48" s="77"/>
      <c r="AT48" s="77"/>
      <c r="AU48" s="77"/>
      <c r="AV48" s="83" t="str">
        <f>HYPERLINK("https://pbs.twimg.com/profile_images/1740133479357227008/M7cnTK0g_normal.jpg")</f>
        <v>https://pbs.twimg.com/profile_images/1740133479357227008/M7cnTK0g_normal.jpg</v>
      </c>
      <c r="AW48" s="81" t="s">
        <v>968</v>
      </c>
      <c r="AX48" s="81" t="s">
        <v>968</v>
      </c>
      <c r="AY48" s="77"/>
      <c r="AZ48" s="81" t="s">
        <v>1210</v>
      </c>
      <c r="BA48" s="81" t="s">
        <v>1210</v>
      </c>
      <c r="BB48" s="81" t="s">
        <v>1210</v>
      </c>
      <c r="BC48" s="81" t="s">
        <v>968</v>
      </c>
      <c r="BD48" s="77">
        <v>247073825</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v>0</v>
      </c>
      <c r="BN48" s="46">
        <v>0</v>
      </c>
      <c r="BO48" s="45">
        <v>2</v>
      </c>
      <c r="BP48" s="46">
        <v>11.764705882352942</v>
      </c>
      <c r="BQ48" s="45">
        <v>0</v>
      </c>
      <c r="BR48" s="46">
        <v>0</v>
      </c>
      <c r="BS48" s="45">
        <v>7</v>
      </c>
      <c r="BT48" s="46">
        <v>41.1764705882353</v>
      </c>
      <c r="BU48" s="45">
        <v>17</v>
      </c>
    </row>
    <row r="49" spans="1:73" ht="15">
      <c r="A49" s="61" t="s">
        <v>248</v>
      </c>
      <c r="B49" s="61" t="s">
        <v>364</v>
      </c>
      <c r="C49" s="62" t="s">
        <v>11652</v>
      </c>
      <c r="D49" s="63">
        <v>3</v>
      </c>
      <c r="E49" s="64" t="s">
        <v>132</v>
      </c>
      <c r="F49" s="65">
        <v>32</v>
      </c>
      <c r="G49" s="62"/>
      <c r="H49" s="66"/>
      <c r="I49" s="67"/>
      <c r="J49" s="67"/>
      <c r="K49" s="31" t="s">
        <v>65</v>
      </c>
      <c r="L49" s="75">
        <v>49</v>
      </c>
      <c r="M49" s="75"/>
      <c r="N49" s="69"/>
      <c r="O49" s="77" t="s">
        <v>440</v>
      </c>
      <c r="P49" s="79">
        <v>45314.71150462963</v>
      </c>
      <c r="Q49" s="77" t="s">
        <v>471</v>
      </c>
      <c r="R49" s="77">
        <v>0</v>
      </c>
      <c r="S49" s="77">
        <v>0</v>
      </c>
      <c r="T49" s="77">
        <v>0</v>
      </c>
      <c r="U49" s="77">
        <v>0</v>
      </c>
      <c r="V49" s="77">
        <v>10</v>
      </c>
      <c r="W49" s="77"/>
      <c r="X49" s="83" t="str">
        <f>HYPERLINK("https://nypost.com/2024/01/23/news/israel-says-24-troops-killed-in-gaza-fighting-highest-single-day-toll/?utm_source=twitter&amp;utm_medium=social&amp;utm_campaign=nypost_sitebuttons")</f>
        <v>https://nypost.com/2024/01/23/news/israel-says-24-troops-killed-in-gaza-fighting-highest-single-day-toll/?utm_source=twitter&amp;utm_medium=social&amp;utm_campaign=nypost_sitebuttons</v>
      </c>
      <c r="Y49" s="77" t="s">
        <v>603</v>
      </c>
      <c r="Z49" s="77" t="s">
        <v>364</v>
      </c>
      <c r="AA49" s="77"/>
      <c r="AB49" s="77"/>
      <c r="AC49" s="81" t="s">
        <v>675</v>
      </c>
      <c r="AD49" s="77" t="s">
        <v>686</v>
      </c>
      <c r="AE49" s="83" t="str">
        <f>HYPERLINK("https://twitter.com/robertjkingsbu1/status/1749840560029094028")</f>
        <v>https://twitter.com/robertjkingsbu1/status/1749840560029094028</v>
      </c>
      <c r="AF49" s="79">
        <v>45314.71150462963</v>
      </c>
      <c r="AG49" s="85">
        <v>45314</v>
      </c>
      <c r="AH49" s="81" t="s">
        <v>716</v>
      </c>
      <c r="AI49" s="77" t="b">
        <v>0</v>
      </c>
      <c r="AJ49" s="77"/>
      <c r="AK49" s="77"/>
      <c r="AL49" s="77"/>
      <c r="AM49" s="77"/>
      <c r="AN49" s="77"/>
      <c r="AO49" s="77"/>
      <c r="AP49" s="77"/>
      <c r="AQ49" s="77"/>
      <c r="AR49" s="77"/>
      <c r="AS49" s="77"/>
      <c r="AT49" s="77"/>
      <c r="AU49" s="77"/>
      <c r="AV49" s="83" t="str">
        <f>HYPERLINK("https://pbs.twimg.com/profile_images/1518854310943019008/8GMRH-qX_normal.jpg")</f>
        <v>https://pbs.twimg.com/profile_images/1518854310943019008/8GMRH-qX_normal.jpg</v>
      </c>
      <c r="AW49" s="81" t="s">
        <v>969</v>
      </c>
      <c r="AX49" s="81" t="s">
        <v>969</v>
      </c>
      <c r="AY49" s="77"/>
      <c r="AZ49" s="81" t="s">
        <v>1210</v>
      </c>
      <c r="BA49" s="81" t="s">
        <v>1210</v>
      </c>
      <c r="BB49" s="81" t="s">
        <v>1210</v>
      </c>
      <c r="BC49" s="81" t="s">
        <v>969</v>
      </c>
      <c r="BD49" s="81" t="s">
        <v>1247</v>
      </c>
      <c r="BE49" s="77"/>
      <c r="BF49" s="77"/>
      <c r="BG49" s="77"/>
      <c r="BH49" s="77"/>
      <c r="BI49" s="77"/>
      <c r="BJ49">
        <v>1</v>
      </c>
      <c r="BK49" s="76" t="str">
        <f>REPLACE(INDEX(GroupVertices[Group],MATCH("~"&amp;Edges[[#This Row],[Vertex 1]],GroupVertices[Vertex],0)),1,1,"")</f>
        <v>58</v>
      </c>
      <c r="BL49" s="76" t="str">
        <f>REPLACE(INDEX(GroupVertices[Group],MATCH("~"&amp;Edges[[#This Row],[Vertex 2]],GroupVertices[Vertex],0)),1,1,"")</f>
        <v>58</v>
      </c>
      <c r="BM49" s="45">
        <v>0</v>
      </c>
      <c r="BN49" s="46">
        <v>0</v>
      </c>
      <c r="BO49" s="45">
        <v>2</v>
      </c>
      <c r="BP49" s="46">
        <v>11.764705882352942</v>
      </c>
      <c r="BQ49" s="45">
        <v>0</v>
      </c>
      <c r="BR49" s="46">
        <v>0</v>
      </c>
      <c r="BS49" s="45">
        <v>12</v>
      </c>
      <c r="BT49" s="46">
        <v>70.58823529411765</v>
      </c>
      <c r="BU49" s="45">
        <v>17</v>
      </c>
    </row>
    <row r="50" spans="1:73" ht="15">
      <c r="A50" s="61" t="s">
        <v>249</v>
      </c>
      <c r="B50" s="61" t="s">
        <v>249</v>
      </c>
      <c r="C50" s="62" t="s">
        <v>11652</v>
      </c>
      <c r="D50" s="63">
        <v>3</v>
      </c>
      <c r="E50" s="64" t="s">
        <v>132</v>
      </c>
      <c r="F50" s="65">
        <v>32</v>
      </c>
      <c r="G50" s="62"/>
      <c r="H50" s="66"/>
      <c r="I50" s="67"/>
      <c r="J50" s="67"/>
      <c r="K50" s="31" t="s">
        <v>65</v>
      </c>
      <c r="L50" s="75">
        <v>50</v>
      </c>
      <c r="M50" s="75"/>
      <c r="N50" s="69"/>
      <c r="O50" s="77" t="s">
        <v>178</v>
      </c>
      <c r="P50" s="79">
        <v>45315.0715625</v>
      </c>
      <c r="Q50" s="77" t="s">
        <v>472</v>
      </c>
      <c r="R50" s="77">
        <v>0</v>
      </c>
      <c r="S50" s="77">
        <v>1</v>
      </c>
      <c r="T50" s="77">
        <v>0</v>
      </c>
      <c r="U50" s="77">
        <v>0</v>
      </c>
      <c r="V50" s="77">
        <v>205</v>
      </c>
      <c r="W50" s="77"/>
      <c r="X50" s="83" t="str">
        <f>HYPERLINK("http://dlvr.it/T1nZyd")</f>
        <v>http://dlvr.it/T1nZyd</v>
      </c>
      <c r="Y50" s="77" t="s">
        <v>604</v>
      </c>
      <c r="Z50" s="77"/>
      <c r="AA50" s="77"/>
      <c r="AB50" s="77"/>
      <c r="AC50" s="81" t="s">
        <v>604</v>
      </c>
      <c r="AD50" s="77" t="s">
        <v>686</v>
      </c>
      <c r="AE50" s="83" t="str">
        <f>HYPERLINK("https://twitter.com/breakingpdxnews/status/1749971040888029565")</f>
        <v>https://twitter.com/breakingpdxnews/status/1749971040888029565</v>
      </c>
      <c r="AF50" s="79">
        <v>45315.0715625</v>
      </c>
      <c r="AG50" s="85">
        <v>45315</v>
      </c>
      <c r="AH50" s="81" t="s">
        <v>717</v>
      </c>
      <c r="AI50" s="77" t="b">
        <v>0</v>
      </c>
      <c r="AJ50" s="77"/>
      <c r="AK50" s="77"/>
      <c r="AL50" s="77"/>
      <c r="AM50" s="77"/>
      <c r="AN50" s="77"/>
      <c r="AO50" s="77"/>
      <c r="AP50" s="77"/>
      <c r="AQ50" s="77"/>
      <c r="AR50" s="77"/>
      <c r="AS50" s="77"/>
      <c r="AT50" s="77"/>
      <c r="AU50" s="77"/>
      <c r="AV50" s="83" t="str">
        <f>HYPERLINK("https://pbs.twimg.com/profile_images/446227606/DSC02118_normal.JPG")</f>
        <v>https://pbs.twimg.com/profile_images/446227606/DSC02118_normal.JPG</v>
      </c>
      <c r="AW50" s="81" t="s">
        <v>970</v>
      </c>
      <c r="AX50" s="81" t="s">
        <v>970</v>
      </c>
      <c r="AY50" s="77"/>
      <c r="AZ50" s="81" t="s">
        <v>1210</v>
      </c>
      <c r="BA50" s="81" t="s">
        <v>1210</v>
      </c>
      <c r="BB50" s="81" t="s">
        <v>1210</v>
      </c>
      <c r="BC50" s="81" t="s">
        <v>970</v>
      </c>
      <c r="BD50" s="77">
        <v>63202181</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1</v>
      </c>
      <c r="BP50" s="46">
        <v>4.3478260869565215</v>
      </c>
      <c r="BQ50" s="45">
        <v>0</v>
      </c>
      <c r="BR50" s="46">
        <v>0</v>
      </c>
      <c r="BS50" s="45">
        <v>17</v>
      </c>
      <c r="BT50" s="46">
        <v>73.91304347826087</v>
      </c>
      <c r="BU50" s="45">
        <v>23</v>
      </c>
    </row>
    <row r="51" spans="1:73" ht="15">
      <c r="A51" s="61" t="s">
        <v>250</v>
      </c>
      <c r="B51" s="61" t="s">
        <v>365</v>
      </c>
      <c r="C51" s="62" t="s">
        <v>11652</v>
      </c>
      <c r="D51" s="63">
        <v>3</v>
      </c>
      <c r="E51" s="64" t="s">
        <v>132</v>
      </c>
      <c r="F51" s="65">
        <v>32</v>
      </c>
      <c r="G51" s="62"/>
      <c r="H51" s="66"/>
      <c r="I51" s="67"/>
      <c r="J51" s="67"/>
      <c r="K51" s="31" t="s">
        <v>65</v>
      </c>
      <c r="L51" s="75">
        <v>51</v>
      </c>
      <c r="M51" s="75"/>
      <c r="N51" s="69"/>
      <c r="O51" s="77" t="s">
        <v>437</v>
      </c>
      <c r="P51" s="79">
        <v>45193.9922337963</v>
      </c>
      <c r="Q51" s="77" t="s">
        <v>473</v>
      </c>
      <c r="R51" s="77">
        <v>0</v>
      </c>
      <c r="S51" s="77">
        <v>1</v>
      </c>
      <c r="T51" s="77">
        <v>0</v>
      </c>
      <c r="U51" s="77">
        <v>0</v>
      </c>
      <c r="V51" s="77">
        <v>85</v>
      </c>
      <c r="W51" s="77"/>
      <c r="X51" s="77"/>
      <c r="Y51" s="77"/>
      <c r="Z51" s="77" t="s">
        <v>628</v>
      </c>
      <c r="AA51" s="77"/>
      <c r="AB51" s="77"/>
      <c r="AC51" s="81" t="s">
        <v>674</v>
      </c>
      <c r="AD51" s="77" t="s">
        <v>686</v>
      </c>
      <c r="AE51" s="83" t="str">
        <f>HYPERLINK("https://twitter.com/ritchieontrack/status/1706093361046979004")</f>
        <v>https://twitter.com/ritchieontrack/status/1706093361046979004</v>
      </c>
      <c r="AF51" s="79">
        <v>45193.9922337963</v>
      </c>
      <c r="AG51" s="85">
        <v>45193</v>
      </c>
      <c r="AH51" s="81" t="s">
        <v>718</v>
      </c>
      <c r="AI51" s="77"/>
      <c r="AJ51" s="77" t="s">
        <v>834</v>
      </c>
      <c r="AK51" s="77" t="s">
        <v>849</v>
      </c>
      <c r="AL51" s="77" t="s">
        <v>850</v>
      </c>
      <c r="AM51" s="77" t="s">
        <v>858</v>
      </c>
      <c r="AN51" s="77" t="s">
        <v>880</v>
      </c>
      <c r="AO51" s="77" t="s">
        <v>902</v>
      </c>
      <c r="AP51" s="77" t="s">
        <v>917</v>
      </c>
      <c r="AQ51" s="77"/>
      <c r="AR51" s="77"/>
      <c r="AS51" s="77"/>
      <c r="AT51" s="77"/>
      <c r="AU51" s="77"/>
      <c r="AV51" s="83" t="str">
        <f>HYPERLINK("https://pbs.twimg.com/profile_images/1456067272/SFC_run__3_normal.jpg")</f>
        <v>https://pbs.twimg.com/profile_images/1456067272/SFC_run__3_normal.jpg</v>
      </c>
      <c r="AW51" s="81" t="s">
        <v>971</v>
      </c>
      <c r="AX51" s="81" t="s">
        <v>1096</v>
      </c>
      <c r="AY51" s="81" t="s">
        <v>1161</v>
      </c>
      <c r="AZ51" s="81" t="s">
        <v>1216</v>
      </c>
      <c r="BA51" s="81" t="s">
        <v>1210</v>
      </c>
      <c r="BB51" s="81" t="s">
        <v>1210</v>
      </c>
      <c r="BC51" s="81" t="s">
        <v>1216</v>
      </c>
      <c r="BD51" s="77">
        <v>121871722</v>
      </c>
      <c r="BE51" s="77"/>
      <c r="BF51" s="77"/>
      <c r="BG51" s="77"/>
      <c r="BH51" s="77"/>
      <c r="BI51" s="77"/>
      <c r="BJ51">
        <v>1</v>
      </c>
      <c r="BK51" s="76" t="str">
        <f>REPLACE(INDEX(GroupVertices[Group],MATCH("~"&amp;Edges[[#This Row],[Vertex 1]],GroupVertices[Vertex],0)),1,1,"")</f>
        <v>20</v>
      </c>
      <c r="BL51" s="76" t="str">
        <f>REPLACE(INDEX(GroupVertices[Group],MATCH("~"&amp;Edges[[#This Row],[Vertex 2]],GroupVertices[Vertex],0)),1,1,"")</f>
        <v>20</v>
      </c>
      <c r="BM51" s="45"/>
      <c r="BN51" s="46"/>
      <c r="BO51" s="45"/>
      <c r="BP51" s="46"/>
      <c r="BQ51" s="45"/>
      <c r="BR51" s="46"/>
      <c r="BS51" s="45"/>
      <c r="BT51" s="46"/>
      <c r="BU51" s="45"/>
    </row>
    <row r="52" spans="1:73" ht="15">
      <c r="A52" s="61" t="s">
        <v>250</v>
      </c>
      <c r="B52" s="61" t="s">
        <v>366</v>
      </c>
      <c r="C52" s="62" t="s">
        <v>11652</v>
      </c>
      <c r="D52" s="63">
        <v>3</v>
      </c>
      <c r="E52" s="64" t="s">
        <v>132</v>
      </c>
      <c r="F52" s="65">
        <v>32</v>
      </c>
      <c r="G52" s="62"/>
      <c r="H52" s="66"/>
      <c r="I52" s="67"/>
      <c r="J52" s="67"/>
      <c r="K52" s="31" t="s">
        <v>65</v>
      </c>
      <c r="L52" s="75">
        <v>52</v>
      </c>
      <c r="M52" s="75"/>
      <c r="N52" s="69"/>
      <c r="O52" s="77" t="s">
        <v>438</v>
      </c>
      <c r="P52" s="79">
        <v>45193.9922337963</v>
      </c>
      <c r="Q52" s="77" t="s">
        <v>473</v>
      </c>
      <c r="R52" s="77">
        <v>0</v>
      </c>
      <c r="S52" s="77">
        <v>1</v>
      </c>
      <c r="T52" s="77">
        <v>0</v>
      </c>
      <c r="U52" s="77">
        <v>0</v>
      </c>
      <c r="V52" s="77">
        <v>85</v>
      </c>
      <c r="W52" s="77"/>
      <c r="X52" s="77"/>
      <c r="Y52" s="77"/>
      <c r="Z52" s="77" t="s">
        <v>628</v>
      </c>
      <c r="AA52" s="77"/>
      <c r="AB52" s="77"/>
      <c r="AC52" s="81" t="s">
        <v>674</v>
      </c>
      <c r="AD52" s="77" t="s">
        <v>686</v>
      </c>
      <c r="AE52" s="83" t="str">
        <f>HYPERLINK("https://twitter.com/ritchieontrack/status/1706093361046979004")</f>
        <v>https://twitter.com/ritchieontrack/status/1706093361046979004</v>
      </c>
      <c r="AF52" s="79">
        <v>45193.9922337963</v>
      </c>
      <c r="AG52" s="85">
        <v>45193</v>
      </c>
      <c r="AH52" s="81" t="s">
        <v>718</v>
      </c>
      <c r="AI52" s="77"/>
      <c r="AJ52" s="77" t="s">
        <v>834</v>
      </c>
      <c r="AK52" s="77" t="s">
        <v>849</v>
      </c>
      <c r="AL52" s="77" t="s">
        <v>850</v>
      </c>
      <c r="AM52" s="77" t="s">
        <v>858</v>
      </c>
      <c r="AN52" s="77" t="s">
        <v>880</v>
      </c>
      <c r="AO52" s="77" t="s">
        <v>902</v>
      </c>
      <c r="AP52" s="77" t="s">
        <v>917</v>
      </c>
      <c r="AQ52" s="77"/>
      <c r="AR52" s="77"/>
      <c r="AS52" s="77"/>
      <c r="AT52" s="77"/>
      <c r="AU52" s="77"/>
      <c r="AV52" s="83" t="str">
        <f>HYPERLINK("https://pbs.twimg.com/profile_images/1456067272/SFC_run__3_normal.jpg")</f>
        <v>https://pbs.twimg.com/profile_images/1456067272/SFC_run__3_normal.jpg</v>
      </c>
      <c r="AW52" s="81" t="s">
        <v>971</v>
      </c>
      <c r="AX52" s="81" t="s">
        <v>1096</v>
      </c>
      <c r="AY52" s="81" t="s">
        <v>1161</v>
      </c>
      <c r="AZ52" s="81" t="s">
        <v>1216</v>
      </c>
      <c r="BA52" s="81" t="s">
        <v>1210</v>
      </c>
      <c r="BB52" s="81" t="s">
        <v>1210</v>
      </c>
      <c r="BC52" s="81" t="s">
        <v>1216</v>
      </c>
      <c r="BD52" s="77">
        <v>121871722</v>
      </c>
      <c r="BE52" s="77"/>
      <c r="BF52" s="77"/>
      <c r="BG52" s="77"/>
      <c r="BH52" s="77"/>
      <c r="BI52" s="77"/>
      <c r="BJ52">
        <v>1</v>
      </c>
      <c r="BK52" s="76" t="str">
        <f>REPLACE(INDEX(GroupVertices[Group],MATCH("~"&amp;Edges[[#This Row],[Vertex 1]],GroupVertices[Vertex],0)),1,1,"")</f>
        <v>20</v>
      </c>
      <c r="BL52" s="76" t="str">
        <f>REPLACE(INDEX(GroupVertices[Group],MATCH("~"&amp;Edges[[#This Row],[Vertex 2]],GroupVertices[Vertex],0)),1,1,"")</f>
        <v>20</v>
      </c>
      <c r="BM52" s="45">
        <v>0</v>
      </c>
      <c r="BN52" s="46">
        <v>0</v>
      </c>
      <c r="BO52" s="45">
        <v>2</v>
      </c>
      <c r="BP52" s="46">
        <v>9.090909090909092</v>
      </c>
      <c r="BQ52" s="45">
        <v>0</v>
      </c>
      <c r="BR52" s="46">
        <v>0</v>
      </c>
      <c r="BS52" s="45">
        <v>7</v>
      </c>
      <c r="BT52" s="46">
        <v>31.818181818181817</v>
      </c>
      <c r="BU52" s="45">
        <v>22</v>
      </c>
    </row>
    <row r="53" spans="1:73" ht="15">
      <c r="A53" s="61" t="s">
        <v>251</v>
      </c>
      <c r="B53" s="61" t="s">
        <v>367</v>
      </c>
      <c r="C53" s="62" t="s">
        <v>11652</v>
      </c>
      <c r="D53" s="63">
        <v>3</v>
      </c>
      <c r="E53" s="64" t="s">
        <v>132</v>
      </c>
      <c r="F53" s="65">
        <v>32</v>
      </c>
      <c r="G53" s="62"/>
      <c r="H53" s="66"/>
      <c r="I53" s="67"/>
      <c r="J53" s="67"/>
      <c r="K53" s="31" t="s">
        <v>65</v>
      </c>
      <c r="L53" s="75">
        <v>53</v>
      </c>
      <c r="M53" s="75"/>
      <c r="N53" s="69"/>
      <c r="O53" s="77" t="s">
        <v>437</v>
      </c>
      <c r="P53" s="79">
        <v>45316.623923611114</v>
      </c>
      <c r="Q53" s="77" t="s">
        <v>474</v>
      </c>
      <c r="R53" s="77">
        <v>0</v>
      </c>
      <c r="S53" s="77">
        <v>3</v>
      </c>
      <c r="T53" s="77">
        <v>0</v>
      </c>
      <c r="U53" s="77">
        <v>0</v>
      </c>
      <c r="V53" s="77">
        <v>29</v>
      </c>
      <c r="W53" s="77"/>
      <c r="X53" s="77"/>
      <c r="Y53" s="77"/>
      <c r="Z53" s="77" t="s">
        <v>629</v>
      </c>
      <c r="AA53" s="77"/>
      <c r="AB53" s="77"/>
      <c r="AC53" s="81" t="s">
        <v>674</v>
      </c>
      <c r="AD53" s="77" t="s">
        <v>686</v>
      </c>
      <c r="AE53" s="83" t="str">
        <f>HYPERLINK("https://twitter.com/seenadsgo/status/1750533595117359173")</f>
        <v>https://twitter.com/seenadsgo/status/1750533595117359173</v>
      </c>
      <c r="AF53" s="79">
        <v>45316.623923611114</v>
      </c>
      <c r="AG53" s="85">
        <v>45316</v>
      </c>
      <c r="AH53" s="81" t="s">
        <v>719</v>
      </c>
      <c r="AI53" s="77"/>
      <c r="AJ53" s="77"/>
      <c r="AK53" s="77"/>
      <c r="AL53" s="77"/>
      <c r="AM53" s="77"/>
      <c r="AN53" s="77"/>
      <c r="AO53" s="77"/>
      <c r="AP53" s="77"/>
      <c r="AQ53" s="77"/>
      <c r="AR53" s="77"/>
      <c r="AS53" s="77"/>
      <c r="AT53" s="77"/>
      <c r="AU53" s="77"/>
      <c r="AV53" s="83" t="str">
        <f>HYPERLINK("https://pbs.twimg.com/profile_images/3496131857/27b7dd6426f485f12e1ade72c3a257b7_normal.jpeg")</f>
        <v>https://pbs.twimg.com/profile_images/3496131857/27b7dd6426f485f12e1ade72c3a257b7_normal.jpeg</v>
      </c>
      <c r="AW53" s="81" t="s">
        <v>972</v>
      </c>
      <c r="AX53" s="81" t="s">
        <v>1097</v>
      </c>
      <c r="AY53" s="81" t="s">
        <v>1162</v>
      </c>
      <c r="AZ53" s="81" t="s">
        <v>1217</v>
      </c>
      <c r="BA53" s="81" t="s">
        <v>1210</v>
      </c>
      <c r="BB53" s="81" t="s">
        <v>1210</v>
      </c>
      <c r="BC53" s="81" t="s">
        <v>1217</v>
      </c>
      <c r="BD53" s="77">
        <v>931345868</v>
      </c>
      <c r="BE53" s="77"/>
      <c r="BF53" s="77"/>
      <c r="BG53" s="77"/>
      <c r="BH53" s="77"/>
      <c r="BI53" s="77"/>
      <c r="BJ53">
        <v>1</v>
      </c>
      <c r="BK53" s="76" t="str">
        <f>REPLACE(INDEX(GroupVertices[Group],MATCH("~"&amp;Edges[[#This Row],[Vertex 1]],GroupVertices[Vertex],0)),1,1,"")</f>
        <v>19</v>
      </c>
      <c r="BL53" s="76" t="str">
        <f>REPLACE(INDEX(GroupVertices[Group],MATCH("~"&amp;Edges[[#This Row],[Vertex 2]],GroupVertices[Vertex],0)),1,1,"")</f>
        <v>19</v>
      </c>
      <c r="BM53" s="45"/>
      <c r="BN53" s="46"/>
      <c r="BO53" s="45"/>
      <c r="BP53" s="46"/>
      <c r="BQ53" s="45"/>
      <c r="BR53" s="46"/>
      <c r="BS53" s="45"/>
      <c r="BT53" s="46"/>
      <c r="BU53" s="45"/>
    </row>
    <row r="54" spans="1:73" ht="15">
      <c r="A54" s="61" t="s">
        <v>251</v>
      </c>
      <c r="B54" s="61" t="s">
        <v>368</v>
      </c>
      <c r="C54" s="62" t="s">
        <v>11652</v>
      </c>
      <c r="D54" s="63">
        <v>3</v>
      </c>
      <c r="E54" s="64" t="s">
        <v>132</v>
      </c>
      <c r="F54" s="65">
        <v>32</v>
      </c>
      <c r="G54" s="62"/>
      <c r="H54" s="66"/>
      <c r="I54" s="67"/>
      <c r="J54" s="67"/>
      <c r="K54" s="31" t="s">
        <v>65</v>
      </c>
      <c r="L54" s="75">
        <v>54</v>
      </c>
      <c r="M54" s="75"/>
      <c r="N54" s="69"/>
      <c r="O54" s="77" t="s">
        <v>438</v>
      </c>
      <c r="P54" s="79">
        <v>45316.623923611114</v>
      </c>
      <c r="Q54" s="77" t="s">
        <v>474</v>
      </c>
      <c r="R54" s="77">
        <v>0</v>
      </c>
      <c r="S54" s="77">
        <v>3</v>
      </c>
      <c r="T54" s="77">
        <v>0</v>
      </c>
      <c r="U54" s="77">
        <v>0</v>
      </c>
      <c r="V54" s="77">
        <v>29</v>
      </c>
      <c r="W54" s="77"/>
      <c r="X54" s="77"/>
      <c r="Y54" s="77"/>
      <c r="Z54" s="77" t="s">
        <v>629</v>
      </c>
      <c r="AA54" s="77"/>
      <c r="AB54" s="77"/>
      <c r="AC54" s="81" t="s">
        <v>674</v>
      </c>
      <c r="AD54" s="77" t="s">
        <v>686</v>
      </c>
      <c r="AE54" s="83" t="str">
        <f>HYPERLINK("https://twitter.com/seenadsgo/status/1750533595117359173")</f>
        <v>https://twitter.com/seenadsgo/status/1750533595117359173</v>
      </c>
      <c r="AF54" s="79">
        <v>45316.623923611114</v>
      </c>
      <c r="AG54" s="85">
        <v>45316</v>
      </c>
      <c r="AH54" s="81" t="s">
        <v>719</v>
      </c>
      <c r="AI54" s="77"/>
      <c r="AJ54" s="77"/>
      <c r="AK54" s="77"/>
      <c r="AL54" s="77"/>
      <c r="AM54" s="77"/>
      <c r="AN54" s="77"/>
      <c r="AO54" s="77"/>
      <c r="AP54" s="77"/>
      <c r="AQ54" s="77"/>
      <c r="AR54" s="77"/>
      <c r="AS54" s="77"/>
      <c r="AT54" s="77"/>
      <c r="AU54" s="77"/>
      <c r="AV54" s="83" t="str">
        <f>HYPERLINK("https://pbs.twimg.com/profile_images/3496131857/27b7dd6426f485f12e1ade72c3a257b7_normal.jpeg")</f>
        <v>https://pbs.twimg.com/profile_images/3496131857/27b7dd6426f485f12e1ade72c3a257b7_normal.jpeg</v>
      </c>
      <c r="AW54" s="81" t="s">
        <v>972</v>
      </c>
      <c r="AX54" s="81" t="s">
        <v>1097</v>
      </c>
      <c r="AY54" s="81" t="s">
        <v>1162</v>
      </c>
      <c r="AZ54" s="81" t="s">
        <v>1217</v>
      </c>
      <c r="BA54" s="81" t="s">
        <v>1210</v>
      </c>
      <c r="BB54" s="81" t="s">
        <v>1210</v>
      </c>
      <c r="BC54" s="81" t="s">
        <v>1217</v>
      </c>
      <c r="BD54" s="77">
        <v>931345868</v>
      </c>
      <c r="BE54" s="77"/>
      <c r="BF54" s="77"/>
      <c r="BG54" s="77"/>
      <c r="BH54" s="77"/>
      <c r="BI54" s="77"/>
      <c r="BJ54">
        <v>1</v>
      </c>
      <c r="BK54" s="76" t="str">
        <f>REPLACE(INDEX(GroupVertices[Group],MATCH("~"&amp;Edges[[#This Row],[Vertex 1]],GroupVertices[Vertex],0)),1,1,"")</f>
        <v>19</v>
      </c>
      <c r="BL54" s="76" t="str">
        <f>REPLACE(INDEX(GroupVertices[Group],MATCH("~"&amp;Edges[[#This Row],[Vertex 2]],GroupVertices[Vertex],0)),1,1,"")</f>
        <v>19</v>
      </c>
      <c r="BM54" s="45">
        <v>0</v>
      </c>
      <c r="BN54" s="46">
        <v>0</v>
      </c>
      <c r="BO54" s="45">
        <v>6</v>
      </c>
      <c r="BP54" s="46">
        <v>11.320754716981131</v>
      </c>
      <c r="BQ54" s="45">
        <v>0</v>
      </c>
      <c r="BR54" s="46">
        <v>0</v>
      </c>
      <c r="BS54" s="45">
        <v>19</v>
      </c>
      <c r="BT54" s="46">
        <v>35.84905660377358</v>
      </c>
      <c r="BU54" s="45">
        <v>53</v>
      </c>
    </row>
    <row r="55" spans="1:73" ht="15">
      <c r="A55" s="61" t="s">
        <v>252</v>
      </c>
      <c r="B55" s="61" t="s">
        <v>369</v>
      </c>
      <c r="C55" s="62" t="s">
        <v>11652</v>
      </c>
      <c r="D55" s="63">
        <v>3</v>
      </c>
      <c r="E55" s="64" t="s">
        <v>132</v>
      </c>
      <c r="F55" s="65">
        <v>32</v>
      </c>
      <c r="G55" s="62"/>
      <c r="H55" s="66"/>
      <c r="I55" s="67"/>
      <c r="J55" s="67"/>
      <c r="K55" s="31" t="s">
        <v>65</v>
      </c>
      <c r="L55" s="75">
        <v>55</v>
      </c>
      <c r="M55" s="75"/>
      <c r="N55" s="69"/>
      <c r="O55" s="77" t="s">
        <v>438</v>
      </c>
      <c r="P55" s="79">
        <v>44993.01464120371</v>
      </c>
      <c r="Q55" s="77" t="s">
        <v>475</v>
      </c>
      <c r="R55" s="77">
        <v>0</v>
      </c>
      <c r="S55" s="77">
        <v>6</v>
      </c>
      <c r="T55" s="77">
        <v>0</v>
      </c>
      <c r="U55" s="77">
        <v>0</v>
      </c>
      <c r="V55" s="77">
        <v>226</v>
      </c>
      <c r="W55" s="77"/>
      <c r="X55" s="77"/>
      <c r="Y55" s="77"/>
      <c r="Z55" s="77" t="s">
        <v>369</v>
      </c>
      <c r="AA55" s="77"/>
      <c r="AB55" s="77"/>
      <c r="AC55" s="81" t="s">
        <v>677</v>
      </c>
      <c r="AD55" s="77" t="s">
        <v>686</v>
      </c>
      <c r="AE55" s="83" t="str">
        <f>HYPERLINK("https://twitter.com/zerocharisma/status/1633261521764749312")</f>
        <v>https://twitter.com/zerocharisma/status/1633261521764749312</v>
      </c>
      <c r="AF55" s="79">
        <v>44993.01464120371</v>
      </c>
      <c r="AG55" s="85">
        <v>44993</v>
      </c>
      <c r="AH55" s="81" t="s">
        <v>720</v>
      </c>
      <c r="AI55" s="77"/>
      <c r="AJ55" s="77" t="s">
        <v>830</v>
      </c>
      <c r="AK55" s="77" t="s">
        <v>849</v>
      </c>
      <c r="AL55" s="77" t="s">
        <v>850</v>
      </c>
      <c r="AM55" s="77" t="s">
        <v>854</v>
      </c>
      <c r="AN55" s="77" t="s">
        <v>876</v>
      </c>
      <c r="AO55" s="77" t="s">
        <v>898</v>
      </c>
      <c r="AP55" s="77" t="s">
        <v>917</v>
      </c>
      <c r="AQ55" s="77"/>
      <c r="AR55" s="77"/>
      <c r="AS55" s="77"/>
      <c r="AT55" s="77"/>
      <c r="AU55" s="77"/>
      <c r="AV55" s="83" t="str">
        <f>HYPERLINK("https://pbs.twimg.com/profile_images/1066205184815095809/thq4StbC_normal.jpg")</f>
        <v>https://pbs.twimg.com/profile_images/1066205184815095809/thq4StbC_normal.jpg</v>
      </c>
      <c r="AW55" s="81" t="s">
        <v>973</v>
      </c>
      <c r="AX55" s="81" t="s">
        <v>1098</v>
      </c>
      <c r="AY55" s="81" t="s">
        <v>1163</v>
      </c>
      <c r="AZ55" s="81" t="s">
        <v>1098</v>
      </c>
      <c r="BA55" s="81" t="s">
        <v>1210</v>
      </c>
      <c r="BB55" s="81" t="s">
        <v>1210</v>
      </c>
      <c r="BC55" s="81" t="s">
        <v>1098</v>
      </c>
      <c r="BD55" s="77">
        <v>7943142</v>
      </c>
      <c r="BE55" s="77"/>
      <c r="BF55" s="77"/>
      <c r="BG55" s="77"/>
      <c r="BH55" s="77"/>
      <c r="BI55" s="77"/>
      <c r="BJ55">
        <v>1</v>
      </c>
      <c r="BK55" s="76" t="str">
        <f>REPLACE(INDEX(GroupVertices[Group],MATCH("~"&amp;Edges[[#This Row],[Vertex 1]],GroupVertices[Vertex],0)),1,1,"")</f>
        <v>57</v>
      </c>
      <c r="BL55" s="76" t="str">
        <f>REPLACE(INDEX(GroupVertices[Group],MATCH("~"&amp;Edges[[#This Row],[Vertex 2]],GroupVertices[Vertex],0)),1,1,"")</f>
        <v>57</v>
      </c>
      <c r="BM55" s="45">
        <v>1</v>
      </c>
      <c r="BN55" s="46">
        <v>5.555555555555555</v>
      </c>
      <c r="BO55" s="45">
        <v>1</v>
      </c>
      <c r="BP55" s="46">
        <v>5.555555555555555</v>
      </c>
      <c r="BQ55" s="45">
        <v>0</v>
      </c>
      <c r="BR55" s="46">
        <v>0</v>
      </c>
      <c r="BS55" s="45">
        <v>8</v>
      </c>
      <c r="BT55" s="46">
        <v>44.44444444444444</v>
      </c>
      <c r="BU55" s="45">
        <v>18</v>
      </c>
    </row>
    <row r="56" spans="1:73" ht="15">
      <c r="A56" s="61" t="s">
        <v>253</v>
      </c>
      <c r="B56" s="61" t="s">
        <v>253</v>
      </c>
      <c r="C56" s="62" t="s">
        <v>11652</v>
      </c>
      <c r="D56" s="63">
        <v>3</v>
      </c>
      <c r="E56" s="64" t="s">
        <v>132</v>
      </c>
      <c r="F56" s="65">
        <v>32</v>
      </c>
      <c r="G56" s="62"/>
      <c r="H56" s="66"/>
      <c r="I56" s="67"/>
      <c r="J56" s="67"/>
      <c r="K56" s="31" t="s">
        <v>65</v>
      </c>
      <c r="L56" s="75">
        <v>56</v>
      </c>
      <c r="M56" s="75"/>
      <c r="N56" s="69"/>
      <c r="O56" s="77" t="s">
        <v>178</v>
      </c>
      <c r="P56" s="79">
        <v>45319.85113425926</v>
      </c>
      <c r="Q56" s="77" t="s">
        <v>476</v>
      </c>
      <c r="R56" s="77">
        <v>0</v>
      </c>
      <c r="S56" s="77">
        <v>2</v>
      </c>
      <c r="T56" s="77">
        <v>0</v>
      </c>
      <c r="U56" s="77">
        <v>0</v>
      </c>
      <c r="V56" s="77">
        <v>54</v>
      </c>
      <c r="W56" s="77"/>
      <c r="X56" s="77"/>
      <c r="Y56" s="77"/>
      <c r="Z56" s="77"/>
      <c r="AA56" s="77" t="s">
        <v>652</v>
      </c>
      <c r="AB56" s="77" t="s">
        <v>671</v>
      </c>
      <c r="AC56" s="81" t="s">
        <v>678</v>
      </c>
      <c r="AD56" s="77" t="s">
        <v>686</v>
      </c>
      <c r="AE56" s="83" t="str">
        <f>HYPERLINK("https://twitter.com/minitruearchive/status/1751703097620205710")</f>
        <v>https://twitter.com/minitruearchive/status/1751703097620205710</v>
      </c>
      <c r="AF56" s="79">
        <v>45319.85113425926</v>
      </c>
      <c r="AG56" s="85">
        <v>45319</v>
      </c>
      <c r="AH56" s="81" t="s">
        <v>721</v>
      </c>
      <c r="AI56" s="77" t="b">
        <v>0</v>
      </c>
      <c r="AJ56" s="77"/>
      <c r="AK56" s="77"/>
      <c r="AL56" s="77"/>
      <c r="AM56" s="77"/>
      <c r="AN56" s="77"/>
      <c r="AO56" s="77"/>
      <c r="AP56" s="77"/>
      <c r="AQ56" s="77" t="s">
        <v>923</v>
      </c>
      <c r="AR56" s="77"/>
      <c r="AS56" s="77"/>
      <c r="AT56" s="77"/>
      <c r="AU56" s="77"/>
      <c r="AV56" s="83" t="str">
        <f>HYPERLINK("https://pbs.twimg.com/media/GE9MrrLbIAAQCQ6.jpg")</f>
        <v>https://pbs.twimg.com/media/GE9MrrLbIAAQCQ6.jpg</v>
      </c>
      <c r="AW56" s="81" t="s">
        <v>974</v>
      </c>
      <c r="AX56" s="81" t="s">
        <v>974</v>
      </c>
      <c r="AY56" s="77"/>
      <c r="AZ56" s="81" t="s">
        <v>1210</v>
      </c>
      <c r="BA56" s="81" t="s">
        <v>1210</v>
      </c>
      <c r="BB56" s="81" t="s">
        <v>1210</v>
      </c>
      <c r="BC56" s="81" t="s">
        <v>974</v>
      </c>
      <c r="BD56" s="81" t="s">
        <v>1248</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v>0</v>
      </c>
      <c r="BN56" s="46">
        <v>0</v>
      </c>
      <c r="BO56" s="45">
        <v>4</v>
      </c>
      <c r="BP56" s="46">
        <v>22.22222222222222</v>
      </c>
      <c r="BQ56" s="45">
        <v>0</v>
      </c>
      <c r="BR56" s="46">
        <v>0</v>
      </c>
      <c r="BS56" s="45">
        <v>10</v>
      </c>
      <c r="BT56" s="46">
        <v>55.55555555555556</v>
      </c>
      <c r="BU56" s="45">
        <v>18</v>
      </c>
    </row>
    <row r="57" spans="1:73" ht="15">
      <c r="A57" s="61" t="s">
        <v>254</v>
      </c>
      <c r="B57" s="61" t="s">
        <v>370</v>
      </c>
      <c r="C57" s="62" t="s">
        <v>11652</v>
      </c>
      <c r="D57" s="63">
        <v>3</v>
      </c>
      <c r="E57" s="64" t="s">
        <v>132</v>
      </c>
      <c r="F57" s="65">
        <v>32</v>
      </c>
      <c r="G57" s="62"/>
      <c r="H57" s="66"/>
      <c r="I57" s="67"/>
      <c r="J57" s="67"/>
      <c r="K57" s="31" t="s">
        <v>65</v>
      </c>
      <c r="L57" s="75">
        <v>57</v>
      </c>
      <c r="M57" s="75"/>
      <c r="N57" s="69"/>
      <c r="O57" s="77" t="s">
        <v>437</v>
      </c>
      <c r="P57" s="79">
        <v>45316.17548611111</v>
      </c>
      <c r="Q57" s="77" t="s">
        <v>477</v>
      </c>
      <c r="R57" s="77">
        <v>0</v>
      </c>
      <c r="S57" s="77">
        <v>3</v>
      </c>
      <c r="T57" s="77">
        <v>1</v>
      </c>
      <c r="U57" s="77">
        <v>0</v>
      </c>
      <c r="V57" s="77">
        <v>136</v>
      </c>
      <c r="W57" s="77"/>
      <c r="X57" s="77"/>
      <c r="Y57" s="77"/>
      <c r="Z57" s="77" t="s">
        <v>630</v>
      </c>
      <c r="AA57" s="77"/>
      <c r="AB57" s="77"/>
      <c r="AC57" s="81" t="s">
        <v>674</v>
      </c>
      <c r="AD57" s="77" t="s">
        <v>686</v>
      </c>
      <c r="AE57" s="83" t="str">
        <f>HYPERLINK("https://twitter.com/on_bicycle/status/1750371089581264995")</f>
        <v>https://twitter.com/on_bicycle/status/1750371089581264995</v>
      </c>
      <c r="AF57" s="79">
        <v>45316.17548611111</v>
      </c>
      <c r="AG57" s="85">
        <v>45316</v>
      </c>
      <c r="AH57" s="81" t="s">
        <v>722</v>
      </c>
      <c r="AI57" s="77"/>
      <c r="AJ57" s="77" t="s">
        <v>828</v>
      </c>
      <c r="AK57" s="77" t="s">
        <v>849</v>
      </c>
      <c r="AL57" s="77" t="s">
        <v>850</v>
      </c>
      <c r="AM57" s="77" t="s">
        <v>852</v>
      </c>
      <c r="AN57" s="77" t="s">
        <v>874</v>
      </c>
      <c r="AO57" s="77" t="s">
        <v>896</v>
      </c>
      <c r="AP57" s="77" t="s">
        <v>917</v>
      </c>
      <c r="AQ57" s="77"/>
      <c r="AR57" s="77"/>
      <c r="AS57" s="77"/>
      <c r="AT57" s="77"/>
      <c r="AU57" s="77"/>
      <c r="AV57" s="83" t="str">
        <f>HYPERLINK("https://pbs.twimg.com/profile_images/1179538510945980416/vHHbVeXI_normal.jpg")</f>
        <v>https://pbs.twimg.com/profile_images/1179538510945980416/vHHbVeXI_normal.jpg</v>
      </c>
      <c r="AW57" s="81" t="s">
        <v>975</v>
      </c>
      <c r="AX57" s="81" t="s">
        <v>1099</v>
      </c>
      <c r="AY57" s="81" t="s">
        <v>1164</v>
      </c>
      <c r="AZ57" s="81" t="s">
        <v>1218</v>
      </c>
      <c r="BA57" s="81" t="s">
        <v>1210</v>
      </c>
      <c r="BB57" s="81" t="s">
        <v>1210</v>
      </c>
      <c r="BC57" s="81" t="s">
        <v>1218</v>
      </c>
      <c r="BD57" s="81" t="s">
        <v>1249</v>
      </c>
      <c r="BE57" s="77"/>
      <c r="BF57" s="77"/>
      <c r="BG57" s="77"/>
      <c r="BH57" s="77"/>
      <c r="BI57" s="77"/>
      <c r="BJ57">
        <v>1</v>
      </c>
      <c r="BK57" s="76" t="str">
        <f>REPLACE(INDEX(GroupVertices[Group],MATCH("~"&amp;Edges[[#This Row],[Vertex 1]],GroupVertices[Vertex],0)),1,1,"")</f>
        <v>18</v>
      </c>
      <c r="BL57" s="76" t="str">
        <f>REPLACE(INDEX(GroupVertices[Group],MATCH("~"&amp;Edges[[#This Row],[Vertex 2]],GroupVertices[Vertex],0)),1,1,"")</f>
        <v>18</v>
      </c>
      <c r="BM57" s="45"/>
      <c r="BN57" s="46"/>
      <c r="BO57" s="45"/>
      <c r="BP57" s="46"/>
      <c r="BQ57" s="45"/>
      <c r="BR57" s="46"/>
      <c r="BS57" s="45"/>
      <c r="BT57" s="46"/>
      <c r="BU57" s="45"/>
    </row>
    <row r="58" spans="1:73" ht="15">
      <c r="A58" s="61" t="s">
        <v>254</v>
      </c>
      <c r="B58" s="61" t="s">
        <v>371</v>
      </c>
      <c r="C58" s="62" t="s">
        <v>11652</v>
      </c>
      <c r="D58" s="63">
        <v>3</v>
      </c>
      <c r="E58" s="64" t="s">
        <v>132</v>
      </c>
      <c r="F58" s="65">
        <v>32</v>
      </c>
      <c r="G58" s="62"/>
      <c r="H58" s="66"/>
      <c r="I58" s="67"/>
      <c r="J58" s="67"/>
      <c r="K58" s="31" t="s">
        <v>65</v>
      </c>
      <c r="L58" s="75">
        <v>58</v>
      </c>
      <c r="M58" s="75"/>
      <c r="N58" s="69"/>
      <c r="O58" s="77" t="s">
        <v>438</v>
      </c>
      <c r="P58" s="79">
        <v>45316.17548611111</v>
      </c>
      <c r="Q58" s="77" t="s">
        <v>477</v>
      </c>
      <c r="R58" s="77">
        <v>0</v>
      </c>
      <c r="S58" s="77">
        <v>3</v>
      </c>
      <c r="T58" s="77">
        <v>1</v>
      </c>
      <c r="U58" s="77">
        <v>0</v>
      </c>
      <c r="V58" s="77">
        <v>136</v>
      </c>
      <c r="W58" s="77"/>
      <c r="X58" s="77"/>
      <c r="Y58" s="77"/>
      <c r="Z58" s="77" t="s">
        <v>630</v>
      </c>
      <c r="AA58" s="77"/>
      <c r="AB58" s="77"/>
      <c r="AC58" s="81" t="s">
        <v>674</v>
      </c>
      <c r="AD58" s="77" t="s">
        <v>686</v>
      </c>
      <c r="AE58" s="83" t="str">
        <f>HYPERLINK("https://twitter.com/on_bicycle/status/1750371089581264995")</f>
        <v>https://twitter.com/on_bicycle/status/1750371089581264995</v>
      </c>
      <c r="AF58" s="79">
        <v>45316.17548611111</v>
      </c>
      <c r="AG58" s="85">
        <v>45316</v>
      </c>
      <c r="AH58" s="81" t="s">
        <v>722</v>
      </c>
      <c r="AI58" s="77"/>
      <c r="AJ58" s="77" t="s">
        <v>828</v>
      </c>
      <c r="AK58" s="77" t="s">
        <v>849</v>
      </c>
      <c r="AL58" s="77" t="s">
        <v>850</v>
      </c>
      <c r="AM58" s="77" t="s">
        <v>852</v>
      </c>
      <c r="AN58" s="77" t="s">
        <v>874</v>
      </c>
      <c r="AO58" s="77" t="s">
        <v>896</v>
      </c>
      <c r="AP58" s="77" t="s">
        <v>917</v>
      </c>
      <c r="AQ58" s="77"/>
      <c r="AR58" s="77"/>
      <c r="AS58" s="77"/>
      <c r="AT58" s="77"/>
      <c r="AU58" s="77"/>
      <c r="AV58" s="83" t="str">
        <f>HYPERLINK("https://pbs.twimg.com/profile_images/1179538510945980416/vHHbVeXI_normal.jpg")</f>
        <v>https://pbs.twimg.com/profile_images/1179538510945980416/vHHbVeXI_normal.jpg</v>
      </c>
      <c r="AW58" s="81" t="s">
        <v>975</v>
      </c>
      <c r="AX58" s="81" t="s">
        <v>1099</v>
      </c>
      <c r="AY58" s="81" t="s">
        <v>1164</v>
      </c>
      <c r="AZ58" s="81" t="s">
        <v>1218</v>
      </c>
      <c r="BA58" s="81" t="s">
        <v>1210</v>
      </c>
      <c r="BB58" s="81" t="s">
        <v>1210</v>
      </c>
      <c r="BC58" s="81" t="s">
        <v>1218</v>
      </c>
      <c r="BD58" s="81" t="s">
        <v>1249</v>
      </c>
      <c r="BE58" s="77"/>
      <c r="BF58" s="77"/>
      <c r="BG58" s="77"/>
      <c r="BH58" s="77"/>
      <c r="BI58" s="77"/>
      <c r="BJ58">
        <v>1</v>
      </c>
      <c r="BK58" s="76" t="str">
        <f>REPLACE(INDEX(GroupVertices[Group],MATCH("~"&amp;Edges[[#This Row],[Vertex 1]],GroupVertices[Vertex],0)),1,1,"")</f>
        <v>18</v>
      </c>
      <c r="BL58" s="76" t="str">
        <f>REPLACE(INDEX(GroupVertices[Group],MATCH("~"&amp;Edges[[#This Row],[Vertex 2]],GroupVertices[Vertex],0)),1,1,"")</f>
        <v>18</v>
      </c>
      <c r="BM58" s="45">
        <v>1</v>
      </c>
      <c r="BN58" s="46">
        <v>2.1739130434782608</v>
      </c>
      <c r="BO58" s="45">
        <v>3</v>
      </c>
      <c r="BP58" s="46">
        <v>6.521739130434782</v>
      </c>
      <c r="BQ58" s="45">
        <v>0</v>
      </c>
      <c r="BR58" s="46">
        <v>0</v>
      </c>
      <c r="BS58" s="45">
        <v>19</v>
      </c>
      <c r="BT58" s="46">
        <v>41.30434782608695</v>
      </c>
      <c r="BU58" s="45">
        <v>46</v>
      </c>
    </row>
    <row r="59" spans="1:73" ht="15">
      <c r="A59" s="61" t="s">
        <v>255</v>
      </c>
      <c r="B59" s="61" t="s">
        <v>255</v>
      </c>
      <c r="C59" s="62" t="s">
        <v>11652</v>
      </c>
      <c r="D59" s="63">
        <v>3</v>
      </c>
      <c r="E59" s="64" t="s">
        <v>132</v>
      </c>
      <c r="F59" s="65">
        <v>32</v>
      </c>
      <c r="G59" s="62"/>
      <c r="H59" s="66"/>
      <c r="I59" s="67"/>
      <c r="J59" s="67"/>
      <c r="K59" s="31" t="s">
        <v>65</v>
      </c>
      <c r="L59" s="75">
        <v>59</v>
      </c>
      <c r="M59" s="75"/>
      <c r="N59" s="69"/>
      <c r="O59" s="77" t="s">
        <v>178</v>
      </c>
      <c r="P59" s="79">
        <v>45318.28655092593</v>
      </c>
      <c r="Q59" s="77" t="s">
        <v>478</v>
      </c>
      <c r="R59" s="77">
        <v>0</v>
      </c>
      <c r="S59" s="77">
        <v>0</v>
      </c>
      <c r="T59" s="77">
        <v>0</v>
      </c>
      <c r="U59" s="77">
        <v>0</v>
      </c>
      <c r="V59" s="77">
        <v>8</v>
      </c>
      <c r="W59" s="77"/>
      <c r="X59" s="77"/>
      <c r="Y59" s="77"/>
      <c r="Z59" s="77"/>
      <c r="AA59" s="77"/>
      <c r="AB59" s="77"/>
      <c r="AC59" s="81" t="s">
        <v>675</v>
      </c>
      <c r="AD59" s="77" t="s">
        <v>686</v>
      </c>
      <c r="AE59" s="83" t="str">
        <f>HYPERLINK("https://twitter.com/kythrawowalls/status/1751136110875730312")</f>
        <v>https://twitter.com/kythrawowalls/status/1751136110875730312</v>
      </c>
      <c r="AF59" s="79">
        <v>45318.28655092593</v>
      </c>
      <c r="AG59" s="85">
        <v>45318</v>
      </c>
      <c r="AH59" s="81" t="s">
        <v>723</v>
      </c>
      <c r="AI59" s="77"/>
      <c r="AJ59" s="77"/>
      <c r="AK59" s="77"/>
      <c r="AL59" s="77"/>
      <c r="AM59" s="77"/>
      <c r="AN59" s="77"/>
      <c r="AO59" s="77"/>
      <c r="AP59" s="77"/>
      <c r="AQ59" s="77"/>
      <c r="AR59" s="77"/>
      <c r="AS59" s="77"/>
      <c r="AT59" s="77"/>
      <c r="AU59" s="77"/>
      <c r="AV59" s="83" t="str">
        <f>HYPERLINK("https://pbs.twimg.com/profile_images/1692369379374026752/d3z8o_79_normal.jpg")</f>
        <v>https://pbs.twimg.com/profile_images/1692369379374026752/d3z8o_79_normal.jpg</v>
      </c>
      <c r="AW59" s="81" t="s">
        <v>976</v>
      </c>
      <c r="AX59" s="81" t="s">
        <v>976</v>
      </c>
      <c r="AY59" s="77"/>
      <c r="AZ59" s="81" t="s">
        <v>1210</v>
      </c>
      <c r="BA59" s="81" t="s">
        <v>1210</v>
      </c>
      <c r="BB59" s="81" t="s">
        <v>1210</v>
      </c>
      <c r="BC59" s="81" t="s">
        <v>976</v>
      </c>
      <c r="BD59" s="81" t="s">
        <v>1250</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v>1</v>
      </c>
      <c r="BN59" s="46">
        <v>1.9607843137254901</v>
      </c>
      <c r="BO59" s="45">
        <v>3</v>
      </c>
      <c r="BP59" s="46">
        <v>5.882352941176471</v>
      </c>
      <c r="BQ59" s="45">
        <v>0</v>
      </c>
      <c r="BR59" s="46">
        <v>0</v>
      </c>
      <c r="BS59" s="45">
        <v>20</v>
      </c>
      <c r="BT59" s="46">
        <v>39.21568627450981</v>
      </c>
      <c r="BU59" s="45">
        <v>51</v>
      </c>
    </row>
    <row r="60" spans="1:73" ht="15">
      <c r="A60" s="61" t="s">
        <v>256</v>
      </c>
      <c r="B60" s="61" t="s">
        <v>256</v>
      </c>
      <c r="C60" s="62" t="s">
        <v>11652</v>
      </c>
      <c r="D60" s="63">
        <v>3</v>
      </c>
      <c r="E60" s="64" t="s">
        <v>132</v>
      </c>
      <c r="F60" s="65">
        <v>32</v>
      </c>
      <c r="G60" s="62"/>
      <c r="H60" s="66"/>
      <c r="I60" s="67"/>
      <c r="J60" s="67"/>
      <c r="K60" s="31" t="s">
        <v>65</v>
      </c>
      <c r="L60" s="75">
        <v>60</v>
      </c>
      <c r="M60" s="75"/>
      <c r="N60" s="69"/>
      <c r="O60" s="77" t="s">
        <v>178</v>
      </c>
      <c r="P60" s="79">
        <v>45209.78556712963</v>
      </c>
      <c r="Q60" s="77" t="s">
        <v>479</v>
      </c>
      <c r="R60" s="77">
        <v>0</v>
      </c>
      <c r="S60" s="77">
        <v>0</v>
      </c>
      <c r="T60" s="77">
        <v>0</v>
      </c>
      <c r="U60" s="77">
        <v>0</v>
      </c>
      <c r="V60" s="77">
        <v>41</v>
      </c>
      <c r="W60" s="77"/>
      <c r="X60" s="77"/>
      <c r="Y60" s="77"/>
      <c r="Z60" s="77"/>
      <c r="AA60" s="77"/>
      <c r="AB60" s="77"/>
      <c r="AC60" s="81" t="s">
        <v>677</v>
      </c>
      <c r="AD60" s="77" t="s">
        <v>686</v>
      </c>
      <c r="AE60" s="83" t="str">
        <f>HYPERLINK("https://twitter.com/davidtaple90421/status/1711816674671034456")</f>
        <v>https://twitter.com/davidtaple90421/status/1711816674671034456</v>
      </c>
      <c r="AF60" s="79">
        <v>45209.78556712963</v>
      </c>
      <c r="AG60" s="85">
        <v>45209</v>
      </c>
      <c r="AH60" s="81" t="s">
        <v>724</v>
      </c>
      <c r="AI60" s="77"/>
      <c r="AJ60" s="77" t="s">
        <v>835</v>
      </c>
      <c r="AK60" s="77" t="s">
        <v>849</v>
      </c>
      <c r="AL60" s="77" t="s">
        <v>850</v>
      </c>
      <c r="AM60" s="77" t="s">
        <v>859</v>
      </c>
      <c r="AN60" s="77" t="s">
        <v>881</v>
      </c>
      <c r="AO60" s="77" t="s">
        <v>903</v>
      </c>
      <c r="AP60" s="77" t="s">
        <v>917</v>
      </c>
      <c r="AQ60" s="77"/>
      <c r="AR60" s="77"/>
      <c r="AS60" s="77"/>
      <c r="AT60" s="77"/>
      <c r="AU60" s="77"/>
      <c r="AV60" s="83" t="str">
        <f>HYPERLINK("https://pbs.twimg.com/profile_images/1698486847683350528/kTCyEJls_normal.jpg")</f>
        <v>https://pbs.twimg.com/profile_images/1698486847683350528/kTCyEJls_normal.jpg</v>
      </c>
      <c r="AW60" s="81" t="s">
        <v>977</v>
      </c>
      <c r="AX60" s="81" t="s">
        <v>977</v>
      </c>
      <c r="AY60" s="77"/>
      <c r="AZ60" s="81" t="s">
        <v>1210</v>
      </c>
      <c r="BA60" s="81" t="s">
        <v>1210</v>
      </c>
      <c r="BB60" s="81" t="s">
        <v>1210</v>
      </c>
      <c r="BC60" s="81" t="s">
        <v>977</v>
      </c>
      <c r="BD60" s="81" t="s">
        <v>1251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2</v>
      </c>
      <c r="BN60" s="46">
        <v>8.695652173913043</v>
      </c>
      <c r="BO60" s="45">
        <v>5</v>
      </c>
      <c r="BP60" s="46">
        <v>21.73913043478261</v>
      </c>
      <c r="BQ60" s="45">
        <v>0</v>
      </c>
      <c r="BR60" s="46">
        <v>0</v>
      </c>
      <c r="BS60" s="45">
        <v>6</v>
      </c>
      <c r="BT60" s="46">
        <v>26.08695652173913</v>
      </c>
      <c r="BU60" s="45">
        <v>23</v>
      </c>
    </row>
    <row r="61" spans="1:73" ht="15">
      <c r="A61" s="61" t="s">
        <v>257</v>
      </c>
      <c r="B61" s="61" t="s">
        <v>372</v>
      </c>
      <c r="C61" s="62" t="s">
        <v>11652</v>
      </c>
      <c r="D61" s="63">
        <v>3</v>
      </c>
      <c r="E61" s="64" t="s">
        <v>132</v>
      </c>
      <c r="F61" s="65">
        <v>32</v>
      </c>
      <c r="G61" s="62"/>
      <c r="H61" s="66"/>
      <c r="I61" s="67"/>
      <c r="J61" s="67"/>
      <c r="K61" s="31" t="s">
        <v>65</v>
      </c>
      <c r="L61" s="75">
        <v>61</v>
      </c>
      <c r="M61" s="75"/>
      <c r="N61" s="69"/>
      <c r="O61" s="77" t="s">
        <v>437</v>
      </c>
      <c r="P61" s="79">
        <v>45111.865949074076</v>
      </c>
      <c r="Q61" s="77" t="s">
        <v>480</v>
      </c>
      <c r="R61" s="77">
        <v>0</v>
      </c>
      <c r="S61" s="77">
        <v>2</v>
      </c>
      <c r="T61" s="77">
        <v>1</v>
      </c>
      <c r="U61" s="77">
        <v>0</v>
      </c>
      <c r="V61" s="77">
        <v>101</v>
      </c>
      <c r="W61" s="77"/>
      <c r="X61" s="77"/>
      <c r="Y61" s="77"/>
      <c r="Z61" s="77" t="s">
        <v>631</v>
      </c>
      <c r="AA61" s="77"/>
      <c r="AB61" s="77"/>
      <c r="AC61" s="81" t="s">
        <v>674</v>
      </c>
      <c r="AD61" s="77" t="s">
        <v>686</v>
      </c>
      <c r="AE61" s="83" t="str">
        <f>HYPERLINK("https://twitter.com/fairleyphoto/status/1676331792742383617")</f>
        <v>https://twitter.com/fairleyphoto/status/1676331792742383617</v>
      </c>
      <c r="AF61" s="79">
        <v>45111.865949074076</v>
      </c>
      <c r="AG61" s="85">
        <v>45111</v>
      </c>
      <c r="AH61" s="81" t="s">
        <v>725</v>
      </c>
      <c r="AI61" s="77"/>
      <c r="AJ61" s="77" t="s">
        <v>828</v>
      </c>
      <c r="AK61" s="77" t="s">
        <v>849</v>
      </c>
      <c r="AL61" s="77" t="s">
        <v>850</v>
      </c>
      <c r="AM61" s="77" t="s">
        <v>852</v>
      </c>
      <c r="AN61" s="77" t="s">
        <v>874</v>
      </c>
      <c r="AO61" s="77" t="s">
        <v>896</v>
      </c>
      <c r="AP61" s="77" t="s">
        <v>917</v>
      </c>
      <c r="AQ61" s="77"/>
      <c r="AR61" s="77"/>
      <c r="AS61" s="77"/>
      <c r="AT61" s="77"/>
      <c r="AU61" s="77"/>
      <c r="AV61" s="83" t="str">
        <f>HYPERLINK("https://pbs.twimg.com/profile_images/1234302995874992129/BEsGJNSf_normal.jpg")</f>
        <v>https://pbs.twimg.com/profile_images/1234302995874992129/BEsGJNSf_normal.jpg</v>
      </c>
      <c r="AW61" s="81" t="s">
        <v>978</v>
      </c>
      <c r="AX61" s="81" t="s">
        <v>1100</v>
      </c>
      <c r="AY61" s="81" t="s">
        <v>1165</v>
      </c>
      <c r="AZ61" s="81" t="s">
        <v>1219</v>
      </c>
      <c r="BA61" s="81" t="s">
        <v>1210</v>
      </c>
      <c r="BB61" s="81" t="s">
        <v>1210</v>
      </c>
      <c r="BC61" s="81" t="s">
        <v>1219</v>
      </c>
      <c r="BD61" s="81" t="s">
        <v>1252</v>
      </c>
      <c r="BE61" s="77"/>
      <c r="BF61" s="77"/>
      <c r="BG61" s="77"/>
      <c r="BH61" s="77"/>
      <c r="BI61" s="77"/>
      <c r="BJ61">
        <v>1</v>
      </c>
      <c r="BK61" s="76" t="str">
        <f>REPLACE(INDEX(GroupVertices[Group],MATCH("~"&amp;Edges[[#This Row],[Vertex 1]],GroupVertices[Vertex],0)),1,1,"")</f>
        <v>9</v>
      </c>
      <c r="BL61" s="76" t="str">
        <f>REPLACE(INDEX(GroupVertices[Group],MATCH("~"&amp;Edges[[#This Row],[Vertex 2]],GroupVertices[Vertex],0)),1,1,"")</f>
        <v>9</v>
      </c>
      <c r="BM61" s="45"/>
      <c r="BN61" s="46"/>
      <c r="BO61" s="45"/>
      <c r="BP61" s="46"/>
      <c r="BQ61" s="45"/>
      <c r="BR61" s="46"/>
      <c r="BS61" s="45"/>
      <c r="BT61" s="46"/>
      <c r="BU61" s="45"/>
    </row>
    <row r="62" spans="1:73" ht="15">
      <c r="A62" s="61" t="s">
        <v>257</v>
      </c>
      <c r="B62" s="61" t="s">
        <v>373</v>
      </c>
      <c r="C62" s="62" t="s">
        <v>11652</v>
      </c>
      <c r="D62" s="63">
        <v>3</v>
      </c>
      <c r="E62" s="64" t="s">
        <v>132</v>
      </c>
      <c r="F62" s="65">
        <v>32</v>
      </c>
      <c r="G62" s="62"/>
      <c r="H62" s="66"/>
      <c r="I62" s="67"/>
      <c r="J62" s="67"/>
      <c r="K62" s="31" t="s">
        <v>65</v>
      </c>
      <c r="L62" s="75">
        <v>62</v>
      </c>
      <c r="M62" s="75"/>
      <c r="N62" s="69"/>
      <c r="O62" s="77" t="s">
        <v>437</v>
      </c>
      <c r="P62" s="79">
        <v>45111.865949074076</v>
      </c>
      <c r="Q62" s="77" t="s">
        <v>480</v>
      </c>
      <c r="R62" s="77">
        <v>0</v>
      </c>
      <c r="S62" s="77">
        <v>2</v>
      </c>
      <c r="T62" s="77">
        <v>1</v>
      </c>
      <c r="U62" s="77">
        <v>0</v>
      </c>
      <c r="V62" s="77">
        <v>101</v>
      </c>
      <c r="W62" s="77"/>
      <c r="X62" s="77"/>
      <c r="Y62" s="77"/>
      <c r="Z62" s="77" t="s">
        <v>631</v>
      </c>
      <c r="AA62" s="77"/>
      <c r="AB62" s="77"/>
      <c r="AC62" s="81" t="s">
        <v>674</v>
      </c>
      <c r="AD62" s="77" t="s">
        <v>686</v>
      </c>
      <c r="AE62" s="83" t="str">
        <f>HYPERLINK("https://twitter.com/fairleyphoto/status/1676331792742383617")</f>
        <v>https://twitter.com/fairleyphoto/status/1676331792742383617</v>
      </c>
      <c r="AF62" s="79">
        <v>45111.865949074076</v>
      </c>
      <c r="AG62" s="85">
        <v>45111</v>
      </c>
      <c r="AH62" s="81" t="s">
        <v>725</v>
      </c>
      <c r="AI62" s="77"/>
      <c r="AJ62" s="77" t="s">
        <v>828</v>
      </c>
      <c r="AK62" s="77" t="s">
        <v>849</v>
      </c>
      <c r="AL62" s="77" t="s">
        <v>850</v>
      </c>
      <c r="AM62" s="77" t="s">
        <v>852</v>
      </c>
      <c r="AN62" s="77" t="s">
        <v>874</v>
      </c>
      <c r="AO62" s="77" t="s">
        <v>896</v>
      </c>
      <c r="AP62" s="77" t="s">
        <v>917</v>
      </c>
      <c r="AQ62" s="77"/>
      <c r="AR62" s="77"/>
      <c r="AS62" s="77"/>
      <c r="AT62" s="77"/>
      <c r="AU62" s="77"/>
      <c r="AV62" s="83" t="str">
        <f>HYPERLINK("https://pbs.twimg.com/profile_images/1234302995874992129/BEsGJNSf_normal.jpg")</f>
        <v>https://pbs.twimg.com/profile_images/1234302995874992129/BEsGJNSf_normal.jpg</v>
      </c>
      <c r="AW62" s="81" t="s">
        <v>978</v>
      </c>
      <c r="AX62" s="81" t="s">
        <v>1100</v>
      </c>
      <c r="AY62" s="81" t="s">
        <v>1165</v>
      </c>
      <c r="AZ62" s="81" t="s">
        <v>1219</v>
      </c>
      <c r="BA62" s="81" t="s">
        <v>1210</v>
      </c>
      <c r="BB62" s="81" t="s">
        <v>1210</v>
      </c>
      <c r="BC62" s="81" t="s">
        <v>1219</v>
      </c>
      <c r="BD62" s="81" t="s">
        <v>1252</v>
      </c>
      <c r="BE62" s="77"/>
      <c r="BF62" s="77"/>
      <c r="BG62" s="77"/>
      <c r="BH62" s="77"/>
      <c r="BI62" s="77"/>
      <c r="BJ62">
        <v>1</v>
      </c>
      <c r="BK62" s="76" t="str">
        <f>REPLACE(INDEX(GroupVertices[Group],MATCH("~"&amp;Edges[[#This Row],[Vertex 1]],GroupVertices[Vertex],0)),1,1,"")</f>
        <v>9</v>
      </c>
      <c r="BL62" s="76" t="str">
        <f>REPLACE(INDEX(GroupVertices[Group],MATCH("~"&amp;Edges[[#This Row],[Vertex 2]],GroupVertices[Vertex],0)),1,1,"")</f>
        <v>9</v>
      </c>
      <c r="BM62" s="45"/>
      <c r="BN62" s="46"/>
      <c r="BO62" s="45"/>
      <c r="BP62" s="46"/>
      <c r="BQ62" s="45"/>
      <c r="BR62" s="46"/>
      <c r="BS62" s="45"/>
      <c r="BT62" s="46"/>
      <c r="BU62" s="45"/>
    </row>
    <row r="63" spans="1:73" ht="15">
      <c r="A63" s="61" t="s">
        <v>257</v>
      </c>
      <c r="B63" s="61" t="s">
        <v>374</v>
      </c>
      <c r="C63" s="62" t="s">
        <v>11652</v>
      </c>
      <c r="D63" s="63">
        <v>3</v>
      </c>
      <c r="E63" s="64" t="s">
        <v>132</v>
      </c>
      <c r="F63" s="65">
        <v>32</v>
      </c>
      <c r="G63" s="62"/>
      <c r="H63" s="66"/>
      <c r="I63" s="67"/>
      <c r="J63" s="67"/>
      <c r="K63" s="31" t="s">
        <v>65</v>
      </c>
      <c r="L63" s="75">
        <v>63</v>
      </c>
      <c r="M63" s="75"/>
      <c r="N63" s="69"/>
      <c r="O63" s="77" t="s">
        <v>438</v>
      </c>
      <c r="P63" s="79">
        <v>45111.865949074076</v>
      </c>
      <c r="Q63" s="77" t="s">
        <v>480</v>
      </c>
      <c r="R63" s="77">
        <v>0</v>
      </c>
      <c r="S63" s="77">
        <v>2</v>
      </c>
      <c r="T63" s="77">
        <v>1</v>
      </c>
      <c r="U63" s="77">
        <v>0</v>
      </c>
      <c r="V63" s="77">
        <v>101</v>
      </c>
      <c r="W63" s="77"/>
      <c r="X63" s="77"/>
      <c r="Y63" s="77"/>
      <c r="Z63" s="77" t="s">
        <v>631</v>
      </c>
      <c r="AA63" s="77"/>
      <c r="AB63" s="77"/>
      <c r="AC63" s="81" t="s">
        <v>674</v>
      </c>
      <c r="AD63" s="77" t="s">
        <v>686</v>
      </c>
      <c r="AE63" s="83" t="str">
        <f>HYPERLINK("https://twitter.com/fairleyphoto/status/1676331792742383617")</f>
        <v>https://twitter.com/fairleyphoto/status/1676331792742383617</v>
      </c>
      <c r="AF63" s="79">
        <v>45111.865949074076</v>
      </c>
      <c r="AG63" s="85">
        <v>45111</v>
      </c>
      <c r="AH63" s="81" t="s">
        <v>725</v>
      </c>
      <c r="AI63" s="77"/>
      <c r="AJ63" s="77" t="s">
        <v>828</v>
      </c>
      <c r="AK63" s="77" t="s">
        <v>849</v>
      </c>
      <c r="AL63" s="77" t="s">
        <v>850</v>
      </c>
      <c r="AM63" s="77" t="s">
        <v>852</v>
      </c>
      <c r="AN63" s="77" t="s">
        <v>874</v>
      </c>
      <c r="AO63" s="77" t="s">
        <v>896</v>
      </c>
      <c r="AP63" s="77" t="s">
        <v>917</v>
      </c>
      <c r="AQ63" s="77"/>
      <c r="AR63" s="77"/>
      <c r="AS63" s="77"/>
      <c r="AT63" s="77"/>
      <c r="AU63" s="77"/>
      <c r="AV63" s="83" t="str">
        <f>HYPERLINK("https://pbs.twimg.com/profile_images/1234302995874992129/BEsGJNSf_normal.jpg")</f>
        <v>https://pbs.twimg.com/profile_images/1234302995874992129/BEsGJNSf_normal.jpg</v>
      </c>
      <c r="AW63" s="81" t="s">
        <v>978</v>
      </c>
      <c r="AX63" s="81" t="s">
        <v>1100</v>
      </c>
      <c r="AY63" s="81" t="s">
        <v>1165</v>
      </c>
      <c r="AZ63" s="81" t="s">
        <v>1219</v>
      </c>
      <c r="BA63" s="81" t="s">
        <v>1210</v>
      </c>
      <c r="BB63" s="81" t="s">
        <v>1210</v>
      </c>
      <c r="BC63" s="81" t="s">
        <v>1219</v>
      </c>
      <c r="BD63" s="81" t="s">
        <v>1252</v>
      </c>
      <c r="BE63" s="77"/>
      <c r="BF63" s="77"/>
      <c r="BG63" s="77"/>
      <c r="BH63" s="77"/>
      <c r="BI63" s="77"/>
      <c r="BJ63">
        <v>1</v>
      </c>
      <c r="BK63" s="76" t="str">
        <f>REPLACE(INDEX(GroupVertices[Group],MATCH("~"&amp;Edges[[#This Row],[Vertex 1]],GroupVertices[Vertex],0)),1,1,"")</f>
        <v>9</v>
      </c>
      <c r="BL63" s="76" t="str">
        <f>REPLACE(INDEX(GroupVertices[Group],MATCH("~"&amp;Edges[[#This Row],[Vertex 2]],GroupVertices[Vertex],0)),1,1,"")</f>
        <v>9</v>
      </c>
      <c r="BM63" s="45">
        <v>0</v>
      </c>
      <c r="BN63" s="46">
        <v>0</v>
      </c>
      <c r="BO63" s="45">
        <v>0</v>
      </c>
      <c r="BP63" s="46">
        <v>0</v>
      </c>
      <c r="BQ63" s="45">
        <v>0</v>
      </c>
      <c r="BR63" s="46">
        <v>0</v>
      </c>
      <c r="BS63" s="45">
        <v>8</v>
      </c>
      <c r="BT63" s="46">
        <v>61.53846153846154</v>
      </c>
      <c r="BU63" s="45">
        <v>13</v>
      </c>
    </row>
    <row r="64" spans="1:73" ht="15">
      <c r="A64" s="61" t="s">
        <v>258</v>
      </c>
      <c r="B64" s="61" t="s">
        <v>258</v>
      </c>
      <c r="C64" s="62" t="s">
        <v>11652</v>
      </c>
      <c r="D64" s="63">
        <v>3</v>
      </c>
      <c r="E64" s="64" t="s">
        <v>132</v>
      </c>
      <c r="F64" s="65">
        <v>32</v>
      </c>
      <c r="G64" s="62"/>
      <c r="H64" s="66"/>
      <c r="I64" s="67"/>
      <c r="J64" s="67"/>
      <c r="K64" s="31" t="s">
        <v>65</v>
      </c>
      <c r="L64" s="75">
        <v>64</v>
      </c>
      <c r="M64" s="75"/>
      <c r="N64" s="69"/>
      <c r="O64" s="77" t="s">
        <v>178</v>
      </c>
      <c r="P64" s="79">
        <v>45251.953993055555</v>
      </c>
      <c r="Q64" s="77" t="s">
        <v>481</v>
      </c>
      <c r="R64" s="77">
        <v>0</v>
      </c>
      <c r="S64" s="77">
        <v>9</v>
      </c>
      <c r="T64" s="77">
        <v>2</v>
      </c>
      <c r="U64" s="77">
        <v>0</v>
      </c>
      <c r="V64" s="77">
        <v>2531</v>
      </c>
      <c r="W64" s="81" t="s">
        <v>586</v>
      </c>
      <c r="X64" s="83" t="str">
        <f>HYPERLINK("https://www.gcsaa.org/resources/regional-resources/northwest/northwest-blog/2023/11/21/creating-an-emotional-support-network")</f>
        <v>https://www.gcsaa.org/resources/regional-resources/northwest/northwest-blog/2023/11/21/creating-an-emotional-support-network</v>
      </c>
      <c r="Y64" s="77" t="s">
        <v>605</v>
      </c>
      <c r="Z64" s="77"/>
      <c r="AA64" s="77" t="s">
        <v>653</v>
      </c>
      <c r="AB64" s="77" t="s">
        <v>671</v>
      </c>
      <c r="AC64" s="81" t="s">
        <v>677</v>
      </c>
      <c r="AD64" s="77" t="s">
        <v>686</v>
      </c>
      <c r="AE64" s="83" t="str">
        <f>HYPERLINK("https://twitter.com/gcsaa_nw/status/1727097998881239378")</f>
        <v>https://twitter.com/gcsaa_nw/status/1727097998881239378</v>
      </c>
      <c r="AF64" s="79">
        <v>45251.953993055555</v>
      </c>
      <c r="AG64" s="85">
        <v>45251</v>
      </c>
      <c r="AH64" s="81" t="s">
        <v>726</v>
      </c>
      <c r="AI64" s="77" t="b">
        <v>0</v>
      </c>
      <c r="AJ64" s="77" t="s">
        <v>836</v>
      </c>
      <c r="AK64" s="77" t="s">
        <v>849</v>
      </c>
      <c r="AL64" s="77" t="s">
        <v>850</v>
      </c>
      <c r="AM64" s="77" t="s">
        <v>860</v>
      </c>
      <c r="AN64" s="77" t="s">
        <v>882</v>
      </c>
      <c r="AO64" s="77" t="s">
        <v>904</v>
      </c>
      <c r="AP64" s="77" t="s">
        <v>917</v>
      </c>
      <c r="AQ64" s="77" t="s">
        <v>924</v>
      </c>
      <c r="AR64" s="77"/>
      <c r="AS64" s="77"/>
      <c r="AT64" s="77"/>
      <c r="AU64" s="77"/>
      <c r="AV64" s="83" t="str">
        <f>HYPERLINK("https://pbs.twimg.com/media/F_fiekabYAAQv9j.jpg")</f>
        <v>https://pbs.twimg.com/media/F_fiekabYAAQv9j.jpg</v>
      </c>
      <c r="AW64" s="81" t="s">
        <v>979</v>
      </c>
      <c r="AX64" s="81" t="s">
        <v>979</v>
      </c>
      <c r="AY64" s="77"/>
      <c r="AZ64" s="81" t="s">
        <v>1210</v>
      </c>
      <c r="BA64" s="81" t="s">
        <v>1210</v>
      </c>
      <c r="BB64" s="81" t="s">
        <v>1210</v>
      </c>
      <c r="BC64" s="81" t="s">
        <v>979</v>
      </c>
      <c r="BD64" s="77">
        <v>513597380</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1</v>
      </c>
      <c r="BN64" s="46">
        <v>4.3478260869565215</v>
      </c>
      <c r="BO64" s="45">
        <v>1</v>
      </c>
      <c r="BP64" s="46">
        <v>4.3478260869565215</v>
      </c>
      <c r="BQ64" s="45">
        <v>0</v>
      </c>
      <c r="BR64" s="46">
        <v>0</v>
      </c>
      <c r="BS64" s="45">
        <v>10</v>
      </c>
      <c r="BT64" s="46">
        <v>43.47826086956522</v>
      </c>
      <c r="BU64" s="45">
        <v>23</v>
      </c>
    </row>
    <row r="65" spans="1:73" ht="15">
      <c r="A65" s="61" t="s">
        <v>259</v>
      </c>
      <c r="B65" s="61" t="s">
        <v>268</v>
      </c>
      <c r="C65" s="62" t="s">
        <v>11652</v>
      </c>
      <c r="D65" s="63">
        <v>3</v>
      </c>
      <c r="E65" s="64" t="s">
        <v>132</v>
      </c>
      <c r="F65" s="65">
        <v>32</v>
      </c>
      <c r="G65" s="62"/>
      <c r="H65" s="66"/>
      <c r="I65" s="67"/>
      <c r="J65" s="67"/>
      <c r="K65" s="31" t="s">
        <v>65</v>
      </c>
      <c r="L65" s="75">
        <v>65</v>
      </c>
      <c r="M65" s="75"/>
      <c r="N65" s="69"/>
      <c r="O65" s="77" t="s">
        <v>439</v>
      </c>
      <c r="P65" s="79">
        <v>45276.001226851855</v>
      </c>
      <c r="Q65" s="77" t="s">
        <v>482</v>
      </c>
      <c r="R65" s="77">
        <v>1</v>
      </c>
      <c r="S65" s="77">
        <v>22</v>
      </c>
      <c r="T65" s="77">
        <v>0</v>
      </c>
      <c r="U65" s="77">
        <v>0</v>
      </c>
      <c r="V65" s="77">
        <v>2127</v>
      </c>
      <c r="W65" s="77"/>
      <c r="X65" s="77"/>
      <c r="Y65" s="77"/>
      <c r="Z65" s="77"/>
      <c r="AA65" s="77"/>
      <c r="AB65" s="77"/>
      <c r="AC65" s="81" t="s">
        <v>674</v>
      </c>
      <c r="AD65" s="77" t="s">
        <v>686</v>
      </c>
      <c r="AE65" s="83" t="str">
        <f>HYPERLINK("https://twitter.com/coachbalto/status/1735812424413155787")</f>
        <v>https://twitter.com/coachbalto/status/1735812424413155787</v>
      </c>
      <c r="AF65" s="79">
        <v>45276.001226851855</v>
      </c>
      <c r="AG65" s="85">
        <v>45276</v>
      </c>
      <c r="AH65" s="81" t="s">
        <v>727</v>
      </c>
      <c r="AI65" s="77"/>
      <c r="AJ65" s="77" t="s">
        <v>828</v>
      </c>
      <c r="AK65" s="77" t="s">
        <v>849</v>
      </c>
      <c r="AL65" s="77" t="s">
        <v>850</v>
      </c>
      <c r="AM65" s="77" t="s">
        <v>852</v>
      </c>
      <c r="AN65" s="77" t="s">
        <v>874</v>
      </c>
      <c r="AO65" s="77" t="s">
        <v>896</v>
      </c>
      <c r="AP65" s="77" t="s">
        <v>917</v>
      </c>
      <c r="AQ65" s="77"/>
      <c r="AR65" s="77"/>
      <c r="AS65" s="77"/>
      <c r="AT65" s="77"/>
      <c r="AU65" s="77"/>
      <c r="AV65" s="83" t="str">
        <f>HYPERLINK("https://pbs.twimg.com/profile_images/1523016859498385408/NR9h054S_normal.jpg")</f>
        <v>https://pbs.twimg.com/profile_images/1523016859498385408/NR9h054S_normal.jpg</v>
      </c>
      <c r="AW65" s="81" t="s">
        <v>980</v>
      </c>
      <c r="AX65" s="81" t="s">
        <v>980</v>
      </c>
      <c r="AY65" s="77"/>
      <c r="AZ65" s="81" t="s">
        <v>1210</v>
      </c>
      <c r="BA65" s="81" t="s">
        <v>989</v>
      </c>
      <c r="BB65" s="81" t="s">
        <v>1210</v>
      </c>
      <c r="BC65" s="81" t="s">
        <v>989</v>
      </c>
      <c r="BD65" s="77">
        <v>2808136894</v>
      </c>
      <c r="BE65" s="77"/>
      <c r="BF65" s="77"/>
      <c r="BG65" s="77"/>
      <c r="BH65" s="77"/>
      <c r="BI65" s="77"/>
      <c r="BJ65">
        <v>1</v>
      </c>
      <c r="BK65" s="76" t="str">
        <f>REPLACE(INDEX(GroupVertices[Group],MATCH("~"&amp;Edges[[#This Row],[Vertex 1]],GroupVertices[Vertex],0)),1,1,"")</f>
        <v>3</v>
      </c>
      <c r="BL65" s="76" t="str">
        <f>REPLACE(INDEX(GroupVertices[Group],MATCH("~"&amp;Edges[[#This Row],[Vertex 2]],GroupVertices[Vertex],0)),1,1,"")</f>
        <v>3</v>
      </c>
      <c r="BM65" s="45">
        <v>1</v>
      </c>
      <c r="BN65" s="46">
        <v>3.3333333333333335</v>
      </c>
      <c r="BO65" s="45">
        <v>1</v>
      </c>
      <c r="BP65" s="46">
        <v>3.3333333333333335</v>
      </c>
      <c r="BQ65" s="45">
        <v>0</v>
      </c>
      <c r="BR65" s="46">
        <v>0</v>
      </c>
      <c r="BS65" s="45">
        <v>16</v>
      </c>
      <c r="BT65" s="46">
        <v>53.333333333333336</v>
      </c>
      <c r="BU65" s="45">
        <v>30</v>
      </c>
    </row>
    <row r="66" spans="1:73" ht="15">
      <c r="A66" s="61" t="s">
        <v>260</v>
      </c>
      <c r="B66" s="61" t="s">
        <v>260</v>
      </c>
      <c r="C66" s="62" t="s">
        <v>11652</v>
      </c>
      <c r="D66" s="63">
        <v>3</v>
      </c>
      <c r="E66" s="64" t="s">
        <v>132</v>
      </c>
      <c r="F66" s="65">
        <v>32</v>
      </c>
      <c r="G66" s="62"/>
      <c r="H66" s="66"/>
      <c r="I66" s="67"/>
      <c r="J66" s="67"/>
      <c r="K66" s="31" t="s">
        <v>65</v>
      </c>
      <c r="L66" s="75">
        <v>66</v>
      </c>
      <c r="M66" s="75"/>
      <c r="N66" s="69"/>
      <c r="O66" s="77" t="s">
        <v>178</v>
      </c>
      <c r="P66" s="79">
        <v>44993.08865740741</v>
      </c>
      <c r="Q66" s="77" t="s">
        <v>483</v>
      </c>
      <c r="R66" s="77">
        <v>0</v>
      </c>
      <c r="S66" s="77">
        <v>2</v>
      </c>
      <c r="T66" s="77">
        <v>0</v>
      </c>
      <c r="U66" s="77">
        <v>0</v>
      </c>
      <c r="V66" s="77">
        <v>153</v>
      </c>
      <c r="W66" s="77"/>
      <c r="X66" s="77"/>
      <c r="Y66" s="77"/>
      <c r="Z66" s="77"/>
      <c r="AA66" s="77"/>
      <c r="AB66" s="77"/>
      <c r="AC66" s="81" t="s">
        <v>674</v>
      </c>
      <c r="AD66" s="77" t="s">
        <v>686</v>
      </c>
      <c r="AE66" s="83" t="str">
        <f>HYPERLINK("https://twitter.com/bucketyboo_96/status/1633288341922910208")</f>
        <v>https://twitter.com/bucketyboo_96/status/1633288341922910208</v>
      </c>
      <c r="AF66" s="79">
        <v>44993.08865740741</v>
      </c>
      <c r="AG66" s="85">
        <v>44993</v>
      </c>
      <c r="AH66" s="81" t="s">
        <v>728</v>
      </c>
      <c r="AI66" s="77"/>
      <c r="AJ66" s="77" t="s">
        <v>837</v>
      </c>
      <c r="AK66" s="77" t="s">
        <v>849</v>
      </c>
      <c r="AL66" s="77" t="s">
        <v>850</v>
      </c>
      <c r="AM66" s="77" t="s">
        <v>861</v>
      </c>
      <c r="AN66" s="77" t="s">
        <v>883</v>
      </c>
      <c r="AO66" s="77" t="s">
        <v>905</v>
      </c>
      <c r="AP66" s="77" t="s">
        <v>917</v>
      </c>
      <c r="AQ66" s="77"/>
      <c r="AR66" s="77"/>
      <c r="AS66" s="77"/>
      <c r="AT66" s="77"/>
      <c r="AU66" s="77"/>
      <c r="AV66" s="83" t="str">
        <f>HYPERLINK("https://pbs.twimg.com/profile_images/1746604526743015424/mMHfJZL9_normal.jpg")</f>
        <v>https://pbs.twimg.com/profile_images/1746604526743015424/mMHfJZL9_normal.jpg</v>
      </c>
      <c r="AW66" s="81" t="s">
        <v>981</v>
      </c>
      <c r="AX66" s="81" t="s">
        <v>981</v>
      </c>
      <c r="AY66" s="77"/>
      <c r="AZ66" s="81" t="s">
        <v>1210</v>
      </c>
      <c r="BA66" s="81" t="s">
        <v>1210</v>
      </c>
      <c r="BB66" s="81" t="s">
        <v>1210</v>
      </c>
      <c r="BC66" s="81" t="s">
        <v>981</v>
      </c>
      <c r="BD66" s="77">
        <v>636629755</v>
      </c>
      <c r="BE66" s="77"/>
      <c r="BF66" s="77"/>
      <c r="BG66" s="77"/>
      <c r="BH66" s="77"/>
      <c r="BI66" s="77"/>
      <c r="BJ66">
        <v>1</v>
      </c>
      <c r="BK66" s="76" t="str">
        <f>REPLACE(INDEX(GroupVertices[Group],MATCH("~"&amp;Edges[[#This Row],[Vertex 1]],GroupVertices[Vertex],0)),1,1,"")</f>
        <v>1</v>
      </c>
      <c r="BL66" s="76" t="str">
        <f>REPLACE(INDEX(GroupVertices[Group],MATCH("~"&amp;Edges[[#This Row],[Vertex 2]],GroupVertices[Vertex],0)),1,1,"")</f>
        <v>1</v>
      </c>
      <c r="BM66" s="45">
        <v>1</v>
      </c>
      <c r="BN66" s="46">
        <v>4.3478260869565215</v>
      </c>
      <c r="BO66" s="45">
        <v>2</v>
      </c>
      <c r="BP66" s="46">
        <v>8.695652173913043</v>
      </c>
      <c r="BQ66" s="45">
        <v>0</v>
      </c>
      <c r="BR66" s="46">
        <v>0</v>
      </c>
      <c r="BS66" s="45">
        <v>10</v>
      </c>
      <c r="BT66" s="46">
        <v>43.47826086956522</v>
      </c>
      <c r="BU66" s="45">
        <v>23</v>
      </c>
    </row>
    <row r="67" spans="1:73" ht="15">
      <c r="A67" s="61" t="s">
        <v>261</v>
      </c>
      <c r="B67" s="61" t="s">
        <v>261</v>
      </c>
      <c r="C67" s="62" t="s">
        <v>11652</v>
      </c>
      <c r="D67" s="63">
        <v>3</v>
      </c>
      <c r="E67" s="64" t="s">
        <v>132</v>
      </c>
      <c r="F67" s="65">
        <v>32</v>
      </c>
      <c r="G67" s="62"/>
      <c r="H67" s="66"/>
      <c r="I67" s="67"/>
      <c r="J67" s="67"/>
      <c r="K67" s="31" t="s">
        <v>65</v>
      </c>
      <c r="L67" s="75">
        <v>67</v>
      </c>
      <c r="M67" s="75"/>
      <c r="N67" s="69"/>
      <c r="O67" s="77" t="s">
        <v>178</v>
      </c>
      <c r="P67" s="79">
        <v>45150.11466435185</v>
      </c>
      <c r="Q67" s="77" t="s">
        <v>484</v>
      </c>
      <c r="R67" s="77">
        <v>0</v>
      </c>
      <c r="S67" s="77">
        <v>0</v>
      </c>
      <c r="T67" s="77">
        <v>0</v>
      </c>
      <c r="U67" s="77">
        <v>0</v>
      </c>
      <c r="V67" s="77">
        <v>400</v>
      </c>
      <c r="W67" s="81" t="s">
        <v>587</v>
      </c>
      <c r="X67" s="77"/>
      <c r="Y67" s="77"/>
      <c r="Z67" s="77"/>
      <c r="AA67" s="77"/>
      <c r="AB67" s="77"/>
      <c r="AC67" s="81" t="s">
        <v>677</v>
      </c>
      <c r="AD67" s="77" t="s">
        <v>686</v>
      </c>
      <c r="AE67" s="83" t="str">
        <f>HYPERLINK("https://twitter.com/anniesong62/status/1690192659791704064")</f>
        <v>https://twitter.com/anniesong62/status/1690192659791704064</v>
      </c>
      <c r="AF67" s="79">
        <v>45150.11466435185</v>
      </c>
      <c r="AG67" s="85">
        <v>45150</v>
      </c>
      <c r="AH67" s="81" t="s">
        <v>729</v>
      </c>
      <c r="AI67" s="77"/>
      <c r="AJ67" s="77" t="s">
        <v>838</v>
      </c>
      <c r="AK67" s="77" t="s">
        <v>849</v>
      </c>
      <c r="AL67" s="77" t="s">
        <v>850</v>
      </c>
      <c r="AM67" s="77" t="s">
        <v>862</v>
      </c>
      <c r="AN67" s="77" t="s">
        <v>884</v>
      </c>
      <c r="AO67" s="77" t="s">
        <v>906</v>
      </c>
      <c r="AP67" s="77" t="s">
        <v>917</v>
      </c>
      <c r="AQ67" s="77"/>
      <c r="AR67" s="77"/>
      <c r="AS67" s="77"/>
      <c r="AT67" s="77"/>
      <c r="AU67" s="77"/>
      <c r="AV67" s="83" t="str">
        <f>HYPERLINK("https://pbs.twimg.com/profile_images/1751807777172070400/GsQe2T-m_normal.jpg")</f>
        <v>https://pbs.twimg.com/profile_images/1751807777172070400/GsQe2T-m_normal.jpg</v>
      </c>
      <c r="AW67" s="81" t="s">
        <v>982</v>
      </c>
      <c r="AX67" s="81" t="s">
        <v>982</v>
      </c>
      <c r="AY67" s="77"/>
      <c r="AZ67" s="81" t="s">
        <v>1210</v>
      </c>
      <c r="BA67" s="81" t="s">
        <v>1210</v>
      </c>
      <c r="BB67" s="81" t="s">
        <v>1210</v>
      </c>
      <c r="BC67" s="81" t="s">
        <v>982</v>
      </c>
      <c r="BD67" s="81" t="s">
        <v>1253</v>
      </c>
      <c r="BE67" s="77"/>
      <c r="BF67" s="77"/>
      <c r="BG67" s="77"/>
      <c r="BH67" s="77"/>
      <c r="BI67" s="77"/>
      <c r="BJ67">
        <v>1</v>
      </c>
      <c r="BK67" s="76" t="str">
        <f>REPLACE(INDEX(GroupVertices[Group],MATCH("~"&amp;Edges[[#This Row],[Vertex 1]],GroupVertices[Vertex],0)),1,1,"")</f>
        <v>1</v>
      </c>
      <c r="BL67" s="76" t="str">
        <f>REPLACE(INDEX(GroupVertices[Group],MATCH("~"&amp;Edges[[#This Row],[Vertex 2]],GroupVertices[Vertex],0)),1,1,"")</f>
        <v>1</v>
      </c>
      <c r="BM67" s="45">
        <v>1</v>
      </c>
      <c r="BN67" s="46">
        <v>2.4390243902439024</v>
      </c>
      <c r="BO67" s="45">
        <v>5</v>
      </c>
      <c r="BP67" s="46">
        <v>12.195121951219512</v>
      </c>
      <c r="BQ67" s="45">
        <v>0</v>
      </c>
      <c r="BR67" s="46">
        <v>0</v>
      </c>
      <c r="BS67" s="45">
        <v>21</v>
      </c>
      <c r="BT67" s="46">
        <v>51.21951219512195</v>
      </c>
      <c r="BU67" s="45">
        <v>41</v>
      </c>
    </row>
    <row r="68" spans="1:73" ht="15">
      <c r="A68" s="61" t="s">
        <v>262</v>
      </c>
      <c r="B68" s="61" t="s">
        <v>375</v>
      </c>
      <c r="C68" s="62" t="s">
        <v>11652</v>
      </c>
      <c r="D68" s="63">
        <v>3</v>
      </c>
      <c r="E68" s="64" t="s">
        <v>132</v>
      </c>
      <c r="F68" s="65">
        <v>32</v>
      </c>
      <c r="G68" s="62"/>
      <c r="H68" s="66"/>
      <c r="I68" s="67"/>
      <c r="J68" s="67"/>
      <c r="K68" s="31" t="s">
        <v>65</v>
      </c>
      <c r="L68" s="75">
        <v>68</v>
      </c>
      <c r="M68" s="75"/>
      <c r="N68" s="69"/>
      <c r="O68" s="77" t="s">
        <v>438</v>
      </c>
      <c r="P68" s="79">
        <v>45316.96177083333</v>
      </c>
      <c r="Q68" s="77" t="s">
        <v>485</v>
      </c>
      <c r="R68" s="77">
        <v>0</v>
      </c>
      <c r="S68" s="77">
        <v>1</v>
      </c>
      <c r="T68" s="77">
        <v>1</v>
      </c>
      <c r="U68" s="77">
        <v>0</v>
      </c>
      <c r="V68" s="77">
        <v>42</v>
      </c>
      <c r="W68" s="77"/>
      <c r="X68" s="77"/>
      <c r="Y68" s="77"/>
      <c r="Z68" s="77" t="s">
        <v>375</v>
      </c>
      <c r="AA68" s="77"/>
      <c r="AB68" s="77"/>
      <c r="AC68" s="81" t="s">
        <v>675</v>
      </c>
      <c r="AD68" s="77" t="s">
        <v>686</v>
      </c>
      <c r="AE68" s="83" t="str">
        <f>HYPERLINK("https://twitter.com/gregormacdonald/status/1750656027555754361")</f>
        <v>https://twitter.com/gregormacdonald/status/1750656027555754361</v>
      </c>
      <c r="AF68" s="79">
        <v>45316.96177083333</v>
      </c>
      <c r="AG68" s="85">
        <v>45316</v>
      </c>
      <c r="AH68" s="81" t="s">
        <v>730</v>
      </c>
      <c r="AI68" s="77"/>
      <c r="AJ68" s="77"/>
      <c r="AK68" s="77"/>
      <c r="AL68" s="77"/>
      <c r="AM68" s="77"/>
      <c r="AN68" s="77"/>
      <c r="AO68" s="77"/>
      <c r="AP68" s="77"/>
      <c r="AQ68" s="77"/>
      <c r="AR68" s="77"/>
      <c r="AS68" s="77"/>
      <c r="AT68" s="77"/>
      <c r="AU68" s="77"/>
      <c r="AV68" s="83" t="str">
        <f>HYPERLINK("https://pbs.twimg.com/profile_images/805548263352848384/bpQMzqgY_normal.jpg")</f>
        <v>https://pbs.twimg.com/profile_images/805548263352848384/bpQMzqgY_normal.jpg</v>
      </c>
      <c r="AW68" s="81" t="s">
        <v>983</v>
      </c>
      <c r="AX68" s="81" t="s">
        <v>1101</v>
      </c>
      <c r="AY68" s="81" t="s">
        <v>1166</v>
      </c>
      <c r="AZ68" s="81" t="s">
        <v>1220</v>
      </c>
      <c r="BA68" s="81" t="s">
        <v>1210</v>
      </c>
      <c r="BB68" s="81" t="s">
        <v>1210</v>
      </c>
      <c r="BC68" s="81" t="s">
        <v>1220</v>
      </c>
      <c r="BD68" s="77">
        <v>12329252</v>
      </c>
      <c r="BE68" s="77"/>
      <c r="BF68" s="77"/>
      <c r="BG68" s="77"/>
      <c r="BH68" s="77"/>
      <c r="BI68" s="77"/>
      <c r="BJ68">
        <v>1</v>
      </c>
      <c r="BK68" s="76" t="str">
        <f>REPLACE(INDEX(GroupVertices[Group],MATCH("~"&amp;Edges[[#This Row],[Vertex 1]],GroupVertices[Vertex],0)),1,1,"")</f>
        <v>56</v>
      </c>
      <c r="BL68" s="76" t="str">
        <f>REPLACE(INDEX(GroupVertices[Group],MATCH("~"&amp;Edges[[#This Row],[Vertex 2]],GroupVertices[Vertex],0)),1,1,"")</f>
        <v>56</v>
      </c>
      <c r="BM68" s="45">
        <v>0</v>
      </c>
      <c r="BN68" s="46">
        <v>0</v>
      </c>
      <c r="BO68" s="45">
        <v>2</v>
      </c>
      <c r="BP68" s="46">
        <v>3.9215686274509802</v>
      </c>
      <c r="BQ68" s="45">
        <v>0</v>
      </c>
      <c r="BR68" s="46">
        <v>0</v>
      </c>
      <c r="BS68" s="45">
        <v>22</v>
      </c>
      <c r="BT68" s="46">
        <v>43.13725490196079</v>
      </c>
      <c r="BU68" s="45">
        <v>51</v>
      </c>
    </row>
    <row r="69" spans="1:73" ht="15">
      <c r="A69" s="61" t="s">
        <v>263</v>
      </c>
      <c r="B69" s="61" t="s">
        <v>350</v>
      </c>
      <c r="C69" s="62" t="s">
        <v>11652</v>
      </c>
      <c r="D69" s="63">
        <v>3</v>
      </c>
      <c r="E69" s="64" t="s">
        <v>132</v>
      </c>
      <c r="F69" s="65">
        <v>32</v>
      </c>
      <c r="G69" s="62"/>
      <c r="H69" s="66"/>
      <c r="I69" s="67"/>
      <c r="J69" s="67"/>
      <c r="K69" s="31" t="s">
        <v>65</v>
      </c>
      <c r="L69" s="75">
        <v>69</v>
      </c>
      <c r="M69" s="75"/>
      <c r="N69" s="69"/>
      <c r="O69" s="77" t="s">
        <v>438</v>
      </c>
      <c r="P69" s="79">
        <v>45319.31668981481</v>
      </c>
      <c r="Q69" s="77" t="s">
        <v>486</v>
      </c>
      <c r="R69" s="77">
        <v>0</v>
      </c>
      <c r="S69" s="77">
        <v>6</v>
      </c>
      <c r="T69" s="77">
        <v>1</v>
      </c>
      <c r="U69" s="77">
        <v>0</v>
      </c>
      <c r="V69" s="77">
        <v>121</v>
      </c>
      <c r="W69" s="77"/>
      <c r="X69" s="77"/>
      <c r="Y69" s="77"/>
      <c r="Z69" s="77" t="s">
        <v>350</v>
      </c>
      <c r="AA69" s="77"/>
      <c r="AB69" s="77"/>
      <c r="AC69" s="81" t="s">
        <v>677</v>
      </c>
      <c r="AD69" s="77" t="s">
        <v>686</v>
      </c>
      <c r="AE69" s="83" t="str">
        <f>HYPERLINK("https://twitter.com/stumptowngrrl/status/1751509424005615896")</f>
        <v>https://twitter.com/stumptowngrrl/status/1751509424005615896</v>
      </c>
      <c r="AF69" s="79">
        <v>45319.31668981481</v>
      </c>
      <c r="AG69" s="85">
        <v>45319</v>
      </c>
      <c r="AH69" s="81" t="s">
        <v>731</v>
      </c>
      <c r="AI69" s="77"/>
      <c r="AJ69" s="77"/>
      <c r="AK69" s="77"/>
      <c r="AL69" s="77"/>
      <c r="AM69" s="77"/>
      <c r="AN69" s="77"/>
      <c r="AO69" s="77"/>
      <c r="AP69" s="77"/>
      <c r="AQ69" s="77"/>
      <c r="AR69" s="77"/>
      <c r="AS69" s="77"/>
      <c r="AT69" s="77"/>
      <c r="AU69" s="77"/>
      <c r="AV69" s="83" t="str">
        <f>HYPERLINK("https://pbs.twimg.com/profile_images/1360505129548435458/8BWst4aF_normal.jpg")</f>
        <v>https://pbs.twimg.com/profile_images/1360505129548435458/8BWst4aF_normal.jpg</v>
      </c>
      <c r="AW69" s="81" t="s">
        <v>984</v>
      </c>
      <c r="AX69" s="81" t="s">
        <v>1102</v>
      </c>
      <c r="AY69" s="81" t="s">
        <v>1151</v>
      </c>
      <c r="AZ69" s="81" t="s">
        <v>1102</v>
      </c>
      <c r="BA69" s="81" t="s">
        <v>1210</v>
      </c>
      <c r="BB69" s="81" t="s">
        <v>1210</v>
      </c>
      <c r="BC69" s="81" t="s">
        <v>1102</v>
      </c>
      <c r="BD69" s="81" t="s">
        <v>1254</v>
      </c>
      <c r="BE69" s="77"/>
      <c r="BF69" s="77"/>
      <c r="BG69" s="77"/>
      <c r="BH69" s="77"/>
      <c r="BI69" s="77"/>
      <c r="BJ69">
        <v>1</v>
      </c>
      <c r="BK69" s="76" t="str">
        <f>REPLACE(INDEX(GroupVertices[Group],MATCH("~"&amp;Edges[[#This Row],[Vertex 1]],GroupVertices[Vertex],0)),1,1,"")</f>
        <v>2</v>
      </c>
      <c r="BL69" s="76" t="str">
        <f>REPLACE(INDEX(GroupVertices[Group],MATCH("~"&amp;Edges[[#This Row],[Vertex 2]],GroupVertices[Vertex],0)),1,1,"")</f>
        <v>2</v>
      </c>
      <c r="BM69" s="45">
        <v>0</v>
      </c>
      <c r="BN69" s="46">
        <v>0</v>
      </c>
      <c r="BO69" s="45">
        <v>2</v>
      </c>
      <c r="BP69" s="46">
        <v>6.896551724137931</v>
      </c>
      <c r="BQ69" s="45">
        <v>0</v>
      </c>
      <c r="BR69" s="46">
        <v>0</v>
      </c>
      <c r="BS69" s="45">
        <v>17</v>
      </c>
      <c r="BT69" s="46">
        <v>58.62068965517241</v>
      </c>
      <c r="BU69" s="45">
        <v>29</v>
      </c>
    </row>
    <row r="70" spans="1:73" ht="15">
      <c r="A70" s="61" t="s">
        <v>264</v>
      </c>
      <c r="B70" s="61" t="s">
        <v>264</v>
      </c>
      <c r="C70" s="62" t="s">
        <v>11652</v>
      </c>
      <c r="D70" s="63">
        <v>3</v>
      </c>
      <c r="E70" s="64" t="s">
        <v>132</v>
      </c>
      <c r="F70" s="65">
        <v>32</v>
      </c>
      <c r="G70" s="62"/>
      <c r="H70" s="66"/>
      <c r="I70" s="67"/>
      <c r="J70" s="67"/>
      <c r="K70" s="31" t="s">
        <v>65</v>
      </c>
      <c r="L70" s="75">
        <v>70</v>
      </c>
      <c r="M70" s="75"/>
      <c r="N70" s="69"/>
      <c r="O70" s="77" t="s">
        <v>438</v>
      </c>
      <c r="P70" s="79">
        <v>44998.80222222222</v>
      </c>
      <c r="Q70" s="77" t="s">
        <v>487</v>
      </c>
      <c r="R70" s="77">
        <v>0</v>
      </c>
      <c r="S70" s="77">
        <v>1</v>
      </c>
      <c r="T70" s="77">
        <v>0</v>
      </c>
      <c r="U70" s="77">
        <v>0</v>
      </c>
      <c r="V70" s="77">
        <v>131</v>
      </c>
      <c r="W70" s="77"/>
      <c r="X70" s="83" t="str">
        <f>HYPERLINK("https://www.nytimes.com/2023/03/08/us/san-bernardino-snow-storm-deaths.html")</f>
        <v>https://www.nytimes.com/2023/03/08/us/san-bernardino-snow-storm-deaths.html</v>
      </c>
      <c r="Y70" s="77" t="s">
        <v>606</v>
      </c>
      <c r="Z70" s="77" t="s">
        <v>632</v>
      </c>
      <c r="AA70" s="77"/>
      <c r="AB70" s="77"/>
      <c r="AC70" s="81" t="s">
        <v>677</v>
      </c>
      <c r="AD70" s="77" t="s">
        <v>686</v>
      </c>
      <c r="AE70" s="83" t="str">
        <f>HYPERLINK("https://twitter.com/aquabluelounge/status/1635358869835907073")</f>
        <v>https://twitter.com/aquabluelounge/status/1635358869835907073</v>
      </c>
      <c r="AF70" s="79">
        <v>44998.80222222222</v>
      </c>
      <c r="AG70" s="85">
        <v>44998</v>
      </c>
      <c r="AH70" s="81" t="s">
        <v>732</v>
      </c>
      <c r="AI70" s="77" t="b">
        <v>0</v>
      </c>
      <c r="AJ70" s="77" t="s">
        <v>828</v>
      </c>
      <c r="AK70" s="77" t="s">
        <v>849</v>
      </c>
      <c r="AL70" s="77" t="s">
        <v>850</v>
      </c>
      <c r="AM70" s="77" t="s">
        <v>852</v>
      </c>
      <c r="AN70" s="77" t="s">
        <v>874</v>
      </c>
      <c r="AO70" s="77" t="s">
        <v>896</v>
      </c>
      <c r="AP70" s="77" t="s">
        <v>917</v>
      </c>
      <c r="AQ70" s="77"/>
      <c r="AR70" s="77"/>
      <c r="AS70" s="77"/>
      <c r="AT70" s="77"/>
      <c r="AU70" s="77"/>
      <c r="AV70" s="83" t="str">
        <f>HYPERLINK("https://pbs.twimg.com/profile_images/1743398343626342400/puH3vfCb_normal.jpg")</f>
        <v>https://pbs.twimg.com/profile_images/1743398343626342400/puH3vfCb_normal.jpg</v>
      </c>
      <c r="AW70" s="81" t="s">
        <v>985</v>
      </c>
      <c r="AX70" s="81" t="s">
        <v>1103</v>
      </c>
      <c r="AY70" s="81" t="s">
        <v>1167</v>
      </c>
      <c r="AZ70" s="81" t="s">
        <v>1221</v>
      </c>
      <c r="BA70" s="81" t="s">
        <v>1210</v>
      </c>
      <c r="BB70" s="81" t="s">
        <v>1210</v>
      </c>
      <c r="BC70" s="81" t="s">
        <v>1221</v>
      </c>
      <c r="BD70" s="81" t="s">
        <v>1167</v>
      </c>
      <c r="BE70" s="77"/>
      <c r="BF70" s="77"/>
      <c r="BG70" s="77"/>
      <c r="BH70" s="77"/>
      <c r="BI70" s="77"/>
      <c r="BJ70">
        <v>1</v>
      </c>
      <c r="BK70" s="76" t="str">
        <f>REPLACE(INDEX(GroupVertices[Group],MATCH("~"&amp;Edges[[#This Row],[Vertex 1]],GroupVertices[Vertex],0)),1,1,"")</f>
        <v>1</v>
      </c>
      <c r="BL70" s="76" t="str">
        <f>REPLACE(INDEX(GroupVertices[Group],MATCH("~"&amp;Edges[[#This Row],[Vertex 2]],GroupVertices[Vertex],0)),1,1,"")</f>
        <v>1</v>
      </c>
      <c r="BM70" s="45">
        <v>0</v>
      </c>
      <c r="BN70" s="46">
        <v>0</v>
      </c>
      <c r="BO70" s="45">
        <v>3</v>
      </c>
      <c r="BP70" s="46">
        <v>18.75</v>
      </c>
      <c r="BQ70" s="45">
        <v>0</v>
      </c>
      <c r="BR70" s="46">
        <v>0</v>
      </c>
      <c r="BS70" s="45">
        <v>11</v>
      </c>
      <c r="BT70" s="46">
        <v>68.75</v>
      </c>
      <c r="BU70" s="45">
        <v>16</v>
      </c>
    </row>
    <row r="71" spans="1:73" ht="15">
      <c r="A71" s="61" t="s">
        <v>265</v>
      </c>
      <c r="B71" s="61" t="s">
        <v>376</v>
      </c>
      <c r="C71" s="62" t="s">
        <v>11652</v>
      </c>
      <c r="D71" s="63">
        <v>3</v>
      </c>
      <c r="E71" s="64" t="s">
        <v>132</v>
      </c>
      <c r="F71" s="65">
        <v>32</v>
      </c>
      <c r="G71" s="62"/>
      <c r="H71" s="66"/>
      <c r="I71" s="67"/>
      <c r="J71" s="67"/>
      <c r="K71" s="31" t="s">
        <v>65</v>
      </c>
      <c r="L71" s="75">
        <v>71</v>
      </c>
      <c r="M71" s="75"/>
      <c r="N71" s="69"/>
      <c r="O71" s="77" t="s">
        <v>441</v>
      </c>
      <c r="P71" s="79">
        <v>45320.28097222222</v>
      </c>
      <c r="Q71" s="77" t="s">
        <v>488</v>
      </c>
      <c r="R71" s="77">
        <v>0</v>
      </c>
      <c r="S71" s="77">
        <v>0</v>
      </c>
      <c r="T71" s="77">
        <v>0</v>
      </c>
      <c r="U71" s="77">
        <v>0</v>
      </c>
      <c r="V71" s="77">
        <v>8</v>
      </c>
      <c r="W71" s="77"/>
      <c r="X71" s="77"/>
      <c r="Y71" s="77"/>
      <c r="Z71" s="77" t="s">
        <v>376</v>
      </c>
      <c r="AA71" s="77"/>
      <c r="AB71" s="77"/>
      <c r="AC71" s="81" t="s">
        <v>677</v>
      </c>
      <c r="AD71" s="77" t="s">
        <v>686</v>
      </c>
      <c r="AE71" s="83" t="str">
        <f>HYPERLINK("https://twitter.com/maxbelousovgg/status/1751858866869166451")</f>
        <v>https://twitter.com/maxbelousovgg/status/1751858866869166451</v>
      </c>
      <c r="AF71" s="79">
        <v>45320.28097222222</v>
      </c>
      <c r="AG71" s="85">
        <v>45320</v>
      </c>
      <c r="AH71" s="81" t="s">
        <v>733</v>
      </c>
      <c r="AI71" s="77"/>
      <c r="AJ71" s="77"/>
      <c r="AK71" s="77"/>
      <c r="AL71" s="77"/>
      <c r="AM71" s="77"/>
      <c r="AN71" s="77"/>
      <c r="AO71" s="77"/>
      <c r="AP71" s="77"/>
      <c r="AQ71" s="77"/>
      <c r="AR71" s="77"/>
      <c r="AS71" s="77"/>
      <c r="AT71" s="77"/>
      <c r="AU71" s="77"/>
      <c r="AV71" s="83" t="str">
        <f>HYPERLINK("https://pbs.twimg.com/profile_images/1586113785034838017/1IjvbCSZ_normal.jpg")</f>
        <v>https://pbs.twimg.com/profile_images/1586113785034838017/1IjvbCSZ_normal.jpg</v>
      </c>
      <c r="AW71" s="81" t="s">
        <v>986</v>
      </c>
      <c r="AX71" s="81" t="s">
        <v>986</v>
      </c>
      <c r="AY71" s="77"/>
      <c r="AZ71" s="81" t="s">
        <v>1210</v>
      </c>
      <c r="BA71" s="81" t="s">
        <v>1023</v>
      </c>
      <c r="BB71" s="81" t="s">
        <v>1210</v>
      </c>
      <c r="BC71" s="81" t="s">
        <v>1023</v>
      </c>
      <c r="BD71" s="81" t="s">
        <v>1255</v>
      </c>
      <c r="BE71" s="77"/>
      <c r="BF71" s="77"/>
      <c r="BG71" s="77"/>
      <c r="BH71" s="77"/>
      <c r="BI71" s="77"/>
      <c r="BJ71">
        <v>1</v>
      </c>
      <c r="BK71" s="76" t="str">
        <f>REPLACE(INDEX(GroupVertices[Group],MATCH("~"&amp;Edges[[#This Row],[Vertex 1]],GroupVertices[Vertex],0)),1,1,"")</f>
        <v>2</v>
      </c>
      <c r="BL71" s="76" t="str">
        <f>REPLACE(INDEX(GroupVertices[Group],MATCH("~"&amp;Edges[[#This Row],[Vertex 2]],GroupVertices[Vertex],0)),1,1,"")</f>
        <v>2</v>
      </c>
      <c r="BM71" s="45">
        <v>1</v>
      </c>
      <c r="BN71" s="46">
        <v>9.090909090909092</v>
      </c>
      <c r="BO71" s="45">
        <v>1</v>
      </c>
      <c r="BP71" s="46">
        <v>9.090909090909092</v>
      </c>
      <c r="BQ71" s="45">
        <v>0</v>
      </c>
      <c r="BR71" s="46">
        <v>0</v>
      </c>
      <c r="BS71" s="45">
        <v>4</v>
      </c>
      <c r="BT71" s="46">
        <v>36.36363636363637</v>
      </c>
      <c r="BU71" s="45">
        <v>11</v>
      </c>
    </row>
    <row r="72" spans="1:73" ht="15">
      <c r="A72" s="61" t="s">
        <v>265</v>
      </c>
      <c r="B72" s="61" t="s">
        <v>298</v>
      </c>
      <c r="C72" s="62" t="s">
        <v>11652</v>
      </c>
      <c r="D72" s="63">
        <v>3</v>
      </c>
      <c r="E72" s="64" t="s">
        <v>132</v>
      </c>
      <c r="F72" s="65">
        <v>32</v>
      </c>
      <c r="G72" s="62"/>
      <c r="H72" s="66"/>
      <c r="I72" s="67"/>
      <c r="J72" s="67"/>
      <c r="K72" s="31" t="s">
        <v>65</v>
      </c>
      <c r="L72" s="75">
        <v>72</v>
      </c>
      <c r="M72" s="75"/>
      <c r="N72" s="69"/>
      <c r="O72" s="77" t="s">
        <v>439</v>
      </c>
      <c r="P72" s="79">
        <v>45320.28097222222</v>
      </c>
      <c r="Q72" s="77" t="s">
        <v>488</v>
      </c>
      <c r="R72" s="77">
        <v>0</v>
      </c>
      <c r="S72" s="77">
        <v>0</v>
      </c>
      <c r="T72" s="77">
        <v>0</v>
      </c>
      <c r="U72" s="77">
        <v>0</v>
      </c>
      <c r="V72" s="77">
        <v>8</v>
      </c>
      <c r="W72" s="77"/>
      <c r="X72" s="77"/>
      <c r="Y72" s="77"/>
      <c r="Z72" s="77" t="s">
        <v>376</v>
      </c>
      <c r="AA72" s="77"/>
      <c r="AB72" s="77"/>
      <c r="AC72" s="81" t="s">
        <v>677</v>
      </c>
      <c r="AD72" s="77" t="s">
        <v>686</v>
      </c>
      <c r="AE72" s="83" t="str">
        <f>HYPERLINK("https://twitter.com/maxbelousovgg/status/1751858866869166451")</f>
        <v>https://twitter.com/maxbelousovgg/status/1751858866869166451</v>
      </c>
      <c r="AF72" s="79">
        <v>45320.28097222222</v>
      </c>
      <c r="AG72" s="85">
        <v>45320</v>
      </c>
      <c r="AH72" s="81" t="s">
        <v>733</v>
      </c>
      <c r="AI72" s="77"/>
      <c r="AJ72" s="77"/>
      <c r="AK72" s="77"/>
      <c r="AL72" s="77"/>
      <c r="AM72" s="77"/>
      <c r="AN72" s="77"/>
      <c r="AO72" s="77"/>
      <c r="AP72" s="77"/>
      <c r="AQ72" s="77"/>
      <c r="AR72" s="77"/>
      <c r="AS72" s="77"/>
      <c r="AT72" s="77"/>
      <c r="AU72" s="77"/>
      <c r="AV72" s="83" t="str">
        <f>HYPERLINK("https://pbs.twimg.com/profile_images/1586113785034838017/1IjvbCSZ_normal.jpg")</f>
        <v>https://pbs.twimg.com/profile_images/1586113785034838017/1IjvbCSZ_normal.jpg</v>
      </c>
      <c r="AW72" s="81" t="s">
        <v>986</v>
      </c>
      <c r="AX72" s="81" t="s">
        <v>986</v>
      </c>
      <c r="AY72" s="77"/>
      <c r="AZ72" s="81" t="s">
        <v>1210</v>
      </c>
      <c r="BA72" s="81" t="s">
        <v>1023</v>
      </c>
      <c r="BB72" s="81" t="s">
        <v>1210</v>
      </c>
      <c r="BC72" s="81" t="s">
        <v>1023</v>
      </c>
      <c r="BD72" s="81" t="s">
        <v>1255</v>
      </c>
      <c r="BE72" s="77"/>
      <c r="BF72" s="77"/>
      <c r="BG72" s="77"/>
      <c r="BH72" s="77"/>
      <c r="BI72" s="77"/>
      <c r="BJ72">
        <v>1</v>
      </c>
      <c r="BK72" s="76" t="str">
        <f>REPLACE(INDEX(GroupVertices[Group],MATCH("~"&amp;Edges[[#This Row],[Vertex 1]],GroupVertices[Vertex],0)),1,1,"")</f>
        <v>2</v>
      </c>
      <c r="BL72" s="76" t="str">
        <f>REPLACE(INDEX(GroupVertices[Group],MATCH("~"&amp;Edges[[#This Row],[Vertex 2]],GroupVertices[Vertex],0)),1,1,"")</f>
        <v>2</v>
      </c>
      <c r="BM72" s="45"/>
      <c r="BN72" s="46"/>
      <c r="BO72" s="45"/>
      <c r="BP72" s="46"/>
      <c r="BQ72" s="45"/>
      <c r="BR72" s="46"/>
      <c r="BS72" s="45"/>
      <c r="BT72" s="46"/>
      <c r="BU72" s="45"/>
    </row>
    <row r="73" spans="1:73" ht="15">
      <c r="A73" s="61" t="s">
        <v>266</v>
      </c>
      <c r="B73" s="61" t="s">
        <v>377</v>
      </c>
      <c r="C73" s="62" t="s">
        <v>11652</v>
      </c>
      <c r="D73" s="63">
        <v>3</v>
      </c>
      <c r="E73" s="64" t="s">
        <v>132</v>
      </c>
      <c r="F73" s="65">
        <v>32</v>
      </c>
      <c r="G73" s="62"/>
      <c r="H73" s="66"/>
      <c r="I73" s="67"/>
      <c r="J73" s="67"/>
      <c r="K73" s="31" t="s">
        <v>65</v>
      </c>
      <c r="L73" s="75">
        <v>73</v>
      </c>
      <c r="M73" s="75"/>
      <c r="N73" s="69"/>
      <c r="O73" s="77" t="s">
        <v>438</v>
      </c>
      <c r="P73" s="79">
        <v>45320.282858796294</v>
      </c>
      <c r="Q73" s="77" t="s">
        <v>489</v>
      </c>
      <c r="R73" s="77">
        <v>0</v>
      </c>
      <c r="S73" s="77">
        <v>1</v>
      </c>
      <c r="T73" s="77">
        <v>0</v>
      </c>
      <c r="U73" s="77">
        <v>0</v>
      </c>
      <c r="V73" s="77">
        <v>18</v>
      </c>
      <c r="W73" s="81" t="s">
        <v>588</v>
      </c>
      <c r="X73" s="77"/>
      <c r="Y73" s="77"/>
      <c r="Z73" s="77" t="s">
        <v>377</v>
      </c>
      <c r="AA73" s="77"/>
      <c r="AB73" s="77"/>
      <c r="AC73" s="81" t="s">
        <v>674</v>
      </c>
      <c r="AD73" s="77" t="s">
        <v>686</v>
      </c>
      <c r="AE73" s="83" t="str">
        <f>HYPERLINK("https://twitter.com/katesattler/status/1751859548636471391")</f>
        <v>https://twitter.com/katesattler/status/1751859548636471391</v>
      </c>
      <c r="AF73" s="79">
        <v>45320.282858796294</v>
      </c>
      <c r="AG73" s="85">
        <v>45320</v>
      </c>
      <c r="AH73" s="81" t="s">
        <v>734</v>
      </c>
      <c r="AI73" s="77"/>
      <c r="AJ73" s="77"/>
      <c r="AK73" s="77"/>
      <c r="AL73" s="77"/>
      <c r="AM73" s="77"/>
      <c r="AN73" s="77"/>
      <c r="AO73" s="77"/>
      <c r="AP73" s="77"/>
      <c r="AQ73" s="77"/>
      <c r="AR73" s="77"/>
      <c r="AS73" s="77"/>
      <c r="AT73" s="77"/>
      <c r="AU73" s="77"/>
      <c r="AV73" s="83" t="str">
        <f>HYPERLINK("https://pbs.twimg.com/profile_images/1745285983845933056/Vt_MUDXB_normal.jpg")</f>
        <v>https://pbs.twimg.com/profile_images/1745285983845933056/Vt_MUDXB_normal.jpg</v>
      </c>
      <c r="AW73" s="81" t="s">
        <v>987</v>
      </c>
      <c r="AX73" s="81" t="s">
        <v>1104</v>
      </c>
      <c r="AY73" s="81" t="s">
        <v>1168</v>
      </c>
      <c r="AZ73" s="81" t="s">
        <v>1104</v>
      </c>
      <c r="BA73" s="81" t="s">
        <v>1210</v>
      </c>
      <c r="BB73" s="81" t="s">
        <v>1210</v>
      </c>
      <c r="BC73" s="81" t="s">
        <v>1104</v>
      </c>
      <c r="BD73" s="77">
        <v>250872552</v>
      </c>
      <c r="BE73" s="77"/>
      <c r="BF73" s="77"/>
      <c r="BG73" s="77"/>
      <c r="BH73" s="77"/>
      <c r="BI73" s="77"/>
      <c r="BJ73">
        <v>1</v>
      </c>
      <c r="BK73" s="76" t="str">
        <f>REPLACE(INDEX(GroupVertices[Group],MATCH("~"&amp;Edges[[#This Row],[Vertex 1]],GroupVertices[Vertex],0)),1,1,"")</f>
        <v>55</v>
      </c>
      <c r="BL73" s="76" t="str">
        <f>REPLACE(INDEX(GroupVertices[Group],MATCH("~"&amp;Edges[[#This Row],[Vertex 2]],GroupVertices[Vertex],0)),1,1,"")</f>
        <v>55</v>
      </c>
      <c r="BM73" s="45">
        <v>1</v>
      </c>
      <c r="BN73" s="46">
        <v>2.4390243902439024</v>
      </c>
      <c r="BO73" s="45">
        <v>4</v>
      </c>
      <c r="BP73" s="46">
        <v>9.75609756097561</v>
      </c>
      <c r="BQ73" s="45">
        <v>0</v>
      </c>
      <c r="BR73" s="46">
        <v>0</v>
      </c>
      <c r="BS73" s="45">
        <v>18</v>
      </c>
      <c r="BT73" s="46">
        <v>43.90243902439025</v>
      </c>
      <c r="BU73" s="45">
        <v>41</v>
      </c>
    </row>
    <row r="74" spans="1:73" ht="15">
      <c r="A74" s="61" t="s">
        <v>267</v>
      </c>
      <c r="B74" s="61" t="s">
        <v>378</v>
      </c>
      <c r="C74" s="62" t="s">
        <v>11652</v>
      </c>
      <c r="D74" s="63">
        <v>3</v>
      </c>
      <c r="E74" s="64" t="s">
        <v>132</v>
      </c>
      <c r="F74" s="65">
        <v>32</v>
      </c>
      <c r="G74" s="62"/>
      <c r="H74" s="66"/>
      <c r="I74" s="67"/>
      <c r="J74" s="67"/>
      <c r="K74" s="31" t="s">
        <v>65</v>
      </c>
      <c r="L74" s="75">
        <v>74</v>
      </c>
      <c r="M74" s="75"/>
      <c r="N74" s="69"/>
      <c r="O74" s="77" t="s">
        <v>440</v>
      </c>
      <c r="P74" s="79">
        <v>45312.884722222225</v>
      </c>
      <c r="Q74" s="77" t="s">
        <v>490</v>
      </c>
      <c r="R74" s="77">
        <v>0</v>
      </c>
      <c r="S74" s="77">
        <v>1</v>
      </c>
      <c r="T74" s="77">
        <v>0</v>
      </c>
      <c r="U74" s="77">
        <v>0</v>
      </c>
      <c r="V74" s="77">
        <v>220</v>
      </c>
      <c r="W74" s="77"/>
      <c r="X74" s="83" t="str">
        <f>HYPERLINK("http://spr.ly/6014rxXTi")</f>
        <v>http://spr.ly/6014rxXTi</v>
      </c>
      <c r="Y74" s="77" t="s">
        <v>607</v>
      </c>
      <c r="Z74" s="77" t="s">
        <v>378</v>
      </c>
      <c r="AA74" s="77"/>
      <c r="AB74" s="77"/>
      <c r="AC74" s="81" t="s">
        <v>679</v>
      </c>
      <c r="AD74" s="77" t="s">
        <v>686</v>
      </c>
      <c r="AE74" s="83" t="str">
        <f>HYPERLINK("https://twitter.com/ohsubrain/status/1749178556813394317")</f>
        <v>https://twitter.com/ohsubrain/status/1749178556813394317</v>
      </c>
      <c r="AF74" s="79">
        <v>45312.884722222225</v>
      </c>
      <c r="AG74" s="85">
        <v>45312</v>
      </c>
      <c r="AH74" s="81" t="s">
        <v>735</v>
      </c>
      <c r="AI74" s="77" t="b">
        <v>0</v>
      </c>
      <c r="AJ74" s="77"/>
      <c r="AK74" s="77"/>
      <c r="AL74" s="77"/>
      <c r="AM74" s="77"/>
      <c r="AN74" s="77"/>
      <c r="AO74" s="77"/>
      <c r="AP74" s="77"/>
      <c r="AQ74" s="77"/>
      <c r="AR74" s="77"/>
      <c r="AS74" s="77"/>
      <c r="AT74" s="77"/>
      <c r="AU74" s="77"/>
      <c r="AV74" s="83" t="str">
        <f>HYPERLINK("https://pbs.twimg.com/profile_images/1675902825338130432/ZYzUUDgm_normal.jpg")</f>
        <v>https://pbs.twimg.com/profile_images/1675902825338130432/ZYzUUDgm_normal.jpg</v>
      </c>
      <c r="AW74" s="81" t="s">
        <v>988</v>
      </c>
      <c r="AX74" s="81" t="s">
        <v>988</v>
      </c>
      <c r="AY74" s="77"/>
      <c r="AZ74" s="81" t="s">
        <v>1210</v>
      </c>
      <c r="BA74" s="81" t="s">
        <v>1210</v>
      </c>
      <c r="BB74" s="81" t="s">
        <v>1210</v>
      </c>
      <c r="BC74" s="81" t="s">
        <v>988</v>
      </c>
      <c r="BD74" s="77">
        <v>454235500</v>
      </c>
      <c r="BE74" s="77"/>
      <c r="BF74" s="77"/>
      <c r="BG74" s="77"/>
      <c r="BH74" s="77"/>
      <c r="BI74" s="77"/>
      <c r="BJ74">
        <v>1</v>
      </c>
      <c r="BK74" s="76" t="str">
        <f>REPLACE(INDEX(GroupVertices[Group],MATCH("~"&amp;Edges[[#This Row],[Vertex 1]],GroupVertices[Vertex],0)),1,1,"")</f>
        <v>54</v>
      </c>
      <c r="BL74" s="76" t="str">
        <f>REPLACE(INDEX(GroupVertices[Group],MATCH("~"&amp;Edges[[#This Row],[Vertex 2]],GroupVertices[Vertex],0)),1,1,"")</f>
        <v>54</v>
      </c>
      <c r="BM74" s="45">
        <v>0</v>
      </c>
      <c r="BN74" s="46">
        <v>0</v>
      </c>
      <c r="BO74" s="45">
        <v>3</v>
      </c>
      <c r="BP74" s="46">
        <v>15.789473684210526</v>
      </c>
      <c r="BQ74" s="45">
        <v>0</v>
      </c>
      <c r="BR74" s="46">
        <v>0</v>
      </c>
      <c r="BS74" s="45">
        <v>8</v>
      </c>
      <c r="BT74" s="46">
        <v>42.10526315789474</v>
      </c>
      <c r="BU74" s="45">
        <v>19</v>
      </c>
    </row>
    <row r="75" spans="1:73" ht="15">
      <c r="A75" s="61" t="s">
        <v>268</v>
      </c>
      <c r="B75" s="61" t="s">
        <v>379</v>
      </c>
      <c r="C75" s="62" t="s">
        <v>11652</v>
      </c>
      <c r="D75" s="63">
        <v>3</v>
      </c>
      <c r="E75" s="64" t="s">
        <v>132</v>
      </c>
      <c r="F75" s="65">
        <v>32</v>
      </c>
      <c r="G75" s="62"/>
      <c r="H75" s="66"/>
      <c r="I75" s="67"/>
      <c r="J75" s="67"/>
      <c r="K75" s="31" t="s">
        <v>65</v>
      </c>
      <c r="L75" s="75">
        <v>75</v>
      </c>
      <c r="M75" s="75"/>
      <c r="N75" s="69"/>
      <c r="O75" s="77" t="s">
        <v>440</v>
      </c>
      <c r="P75" s="79">
        <v>45275.96172453704</v>
      </c>
      <c r="Q75" s="77" t="s">
        <v>491</v>
      </c>
      <c r="R75" s="77">
        <v>51</v>
      </c>
      <c r="S75" s="77">
        <v>301</v>
      </c>
      <c r="T75" s="77">
        <v>85</v>
      </c>
      <c r="U75" s="77">
        <v>10</v>
      </c>
      <c r="V75" s="77">
        <v>19563</v>
      </c>
      <c r="W75" s="77"/>
      <c r="X75" s="83" t="str">
        <f>HYPERLINK("https://www.kgw.com/article/news/local/interstate-bridge-replacement-first-federal-funding/283-ee7735d4-4c90-4f7c-92d7-55069cb98bca")</f>
        <v>https://www.kgw.com/article/news/local/interstate-bridge-replacement-first-federal-funding/283-ee7735d4-4c90-4f7c-92d7-55069cb98bca</v>
      </c>
      <c r="Y75" s="77" t="s">
        <v>608</v>
      </c>
      <c r="Z75" s="77" t="s">
        <v>379</v>
      </c>
      <c r="AA75" s="77"/>
      <c r="AB75" s="77"/>
      <c r="AC75" s="81" t="s">
        <v>675</v>
      </c>
      <c r="AD75" s="77" t="s">
        <v>686</v>
      </c>
      <c r="AE75" s="83" t="str">
        <f>HYPERLINK("https://twitter.com/senjeffmerkley/status/1735798109244997882")</f>
        <v>https://twitter.com/senjeffmerkley/status/1735798109244997882</v>
      </c>
      <c r="AF75" s="79">
        <v>45275.96172453704</v>
      </c>
      <c r="AG75" s="85">
        <v>45275</v>
      </c>
      <c r="AH75" s="81" t="s">
        <v>736</v>
      </c>
      <c r="AI75" s="77" t="b">
        <v>0</v>
      </c>
      <c r="AJ75" s="77"/>
      <c r="AK75" s="77"/>
      <c r="AL75" s="77"/>
      <c r="AM75" s="77"/>
      <c r="AN75" s="77"/>
      <c r="AO75" s="77"/>
      <c r="AP75" s="77"/>
      <c r="AQ75" s="77"/>
      <c r="AR75" s="77"/>
      <c r="AS75" s="77"/>
      <c r="AT75" s="77"/>
      <c r="AU75" s="77"/>
      <c r="AV75" s="83" t="str">
        <f>HYPERLINK("https://pbs.twimg.com/profile_images/873324219630854144/-7ZzOONo_normal.jpg")</f>
        <v>https://pbs.twimg.com/profile_images/873324219630854144/-7ZzOONo_normal.jpg</v>
      </c>
      <c r="AW75" s="81" t="s">
        <v>989</v>
      </c>
      <c r="AX75" s="81" t="s">
        <v>989</v>
      </c>
      <c r="AY75" s="77"/>
      <c r="AZ75" s="81" t="s">
        <v>1210</v>
      </c>
      <c r="BA75" s="81" t="s">
        <v>1210</v>
      </c>
      <c r="BB75" s="81" t="s">
        <v>1210</v>
      </c>
      <c r="BC75" s="81" t="s">
        <v>989</v>
      </c>
      <c r="BD75" s="77">
        <v>29201047</v>
      </c>
      <c r="BE75" s="77"/>
      <c r="BF75" s="77"/>
      <c r="BG75" s="77"/>
      <c r="BH75" s="77"/>
      <c r="BI75" s="77"/>
      <c r="BJ75">
        <v>1</v>
      </c>
      <c r="BK75" s="76" t="str">
        <f>REPLACE(INDEX(GroupVertices[Group],MATCH("~"&amp;Edges[[#This Row],[Vertex 1]],GroupVertices[Vertex],0)),1,1,"")</f>
        <v>3</v>
      </c>
      <c r="BL75" s="76" t="str">
        <f>REPLACE(INDEX(GroupVertices[Group],MATCH("~"&amp;Edges[[#This Row],[Vertex 2]],GroupVertices[Vertex],0)),1,1,"")</f>
        <v>3</v>
      </c>
      <c r="BM75" s="45">
        <v>1</v>
      </c>
      <c r="BN75" s="46">
        <v>3.5714285714285716</v>
      </c>
      <c r="BO75" s="45">
        <v>1</v>
      </c>
      <c r="BP75" s="46">
        <v>3.5714285714285716</v>
      </c>
      <c r="BQ75" s="45">
        <v>0</v>
      </c>
      <c r="BR75" s="46">
        <v>0</v>
      </c>
      <c r="BS75" s="45">
        <v>15</v>
      </c>
      <c r="BT75" s="46">
        <v>53.57142857142857</v>
      </c>
      <c r="BU75" s="45">
        <v>28</v>
      </c>
    </row>
    <row r="76" spans="1:73" ht="15">
      <c r="A76" s="61" t="s">
        <v>269</v>
      </c>
      <c r="B76" s="61" t="s">
        <v>269</v>
      </c>
      <c r="C76" s="62" t="s">
        <v>11652</v>
      </c>
      <c r="D76" s="63">
        <v>3</v>
      </c>
      <c r="E76" s="64" t="s">
        <v>132</v>
      </c>
      <c r="F76" s="65">
        <v>32</v>
      </c>
      <c r="G76" s="62"/>
      <c r="H76" s="66"/>
      <c r="I76" s="67"/>
      <c r="J76" s="67"/>
      <c r="K76" s="31" t="s">
        <v>65</v>
      </c>
      <c r="L76" s="75">
        <v>76</v>
      </c>
      <c r="M76" s="75"/>
      <c r="N76" s="69"/>
      <c r="O76" s="77" t="s">
        <v>178</v>
      </c>
      <c r="P76" s="79">
        <v>45247.99136574074</v>
      </c>
      <c r="Q76" s="77" t="s">
        <v>492</v>
      </c>
      <c r="R76" s="77">
        <v>0</v>
      </c>
      <c r="S76" s="77">
        <v>0</v>
      </c>
      <c r="T76" s="77">
        <v>0</v>
      </c>
      <c r="U76" s="77">
        <v>0</v>
      </c>
      <c r="V76" s="77">
        <v>30</v>
      </c>
      <c r="W76" s="77"/>
      <c r="X76" s="77"/>
      <c r="Y76" s="77"/>
      <c r="Z76" s="77"/>
      <c r="AA76" s="77"/>
      <c r="AB76" s="77"/>
      <c r="AC76" s="81" t="s">
        <v>674</v>
      </c>
      <c r="AD76" s="77" t="s">
        <v>686</v>
      </c>
      <c r="AE76" s="83" t="str">
        <f>HYPERLINK("https://twitter.com/luke_the_duke00/status/1725661990784532884")</f>
        <v>https://twitter.com/luke_the_duke00/status/1725661990784532884</v>
      </c>
      <c r="AF76" s="79">
        <v>45247.99136574074</v>
      </c>
      <c r="AG76" s="85">
        <v>45247</v>
      </c>
      <c r="AH76" s="81" t="s">
        <v>737</v>
      </c>
      <c r="AI76" s="77"/>
      <c r="AJ76" s="77" t="s">
        <v>828</v>
      </c>
      <c r="AK76" s="77" t="s">
        <v>849</v>
      </c>
      <c r="AL76" s="77" t="s">
        <v>850</v>
      </c>
      <c r="AM76" s="77" t="s">
        <v>852</v>
      </c>
      <c r="AN76" s="77" t="s">
        <v>874</v>
      </c>
      <c r="AO76" s="77" t="s">
        <v>896</v>
      </c>
      <c r="AP76" s="77" t="s">
        <v>917</v>
      </c>
      <c r="AQ76" s="77"/>
      <c r="AR76" s="77"/>
      <c r="AS76" s="77"/>
      <c r="AT76" s="77"/>
      <c r="AU76" s="77"/>
      <c r="AV76" s="83" t="str">
        <f>HYPERLINK("https://pbs.twimg.com/profile_images/1694180899079000064/qaRDpEuf_normal.jpg")</f>
        <v>https://pbs.twimg.com/profile_images/1694180899079000064/qaRDpEuf_normal.jpg</v>
      </c>
      <c r="AW76" s="81" t="s">
        <v>990</v>
      </c>
      <c r="AX76" s="81" t="s">
        <v>990</v>
      </c>
      <c r="AY76" s="77"/>
      <c r="AZ76" s="81" t="s">
        <v>1210</v>
      </c>
      <c r="BA76" s="81" t="s">
        <v>1210</v>
      </c>
      <c r="BB76" s="81" t="s">
        <v>1210</v>
      </c>
      <c r="BC76" s="81" t="s">
        <v>990</v>
      </c>
      <c r="BD76" s="81" t="s">
        <v>1256</v>
      </c>
      <c r="BE76" s="77"/>
      <c r="BF76" s="77"/>
      <c r="BG76" s="77"/>
      <c r="BH76" s="77"/>
      <c r="BI76" s="77"/>
      <c r="BJ76">
        <v>1</v>
      </c>
      <c r="BK76" s="76" t="str">
        <f>REPLACE(INDEX(GroupVertices[Group],MATCH("~"&amp;Edges[[#This Row],[Vertex 1]],GroupVertices[Vertex],0)),1,1,"")</f>
        <v>1</v>
      </c>
      <c r="BL76" s="76" t="str">
        <f>REPLACE(INDEX(GroupVertices[Group],MATCH("~"&amp;Edges[[#This Row],[Vertex 2]],GroupVertices[Vertex],0)),1,1,"")</f>
        <v>1</v>
      </c>
      <c r="BM76" s="45">
        <v>2</v>
      </c>
      <c r="BN76" s="46">
        <v>8.695652173913043</v>
      </c>
      <c r="BO76" s="45">
        <v>1</v>
      </c>
      <c r="BP76" s="46">
        <v>4.3478260869565215</v>
      </c>
      <c r="BQ76" s="45">
        <v>0</v>
      </c>
      <c r="BR76" s="46">
        <v>0</v>
      </c>
      <c r="BS76" s="45">
        <v>11</v>
      </c>
      <c r="BT76" s="46">
        <v>47.82608695652174</v>
      </c>
      <c r="BU76" s="45">
        <v>23</v>
      </c>
    </row>
    <row r="77" spans="1:73" ht="15">
      <c r="A77" s="61" t="s">
        <v>270</v>
      </c>
      <c r="B77" s="61" t="s">
        <v>380</v>
      </c>
      <c r="C77" s="62" t="s">
        <v>11652</v>
      </c>
      <c r="D77" s="63">
        <v>3</v>
      </c>
      <c r="E77" s="64" t="s">
        <v>132</v>
      </c>
      <c r="F77" s="65">
        <v>32</v>
      </c>
      <c r="G77" s="62"/>
      <c r="H77" s="66"/>
      <c r="I77" s="67"/>
      <c r="J77" s="67"/>
      <c r="K77" s="31" t="s">
        <v>65</v>
      </c>
      <c r="L77" s="75">
        <v>77</v>
      </c>
      <c r="M77" s="75"/>
      <c r="N77" s="69"/>
      <c r="O77" s="77" t="s">
        <v>437</v>
      </c>
      <c r="P77" s="79">
        <v>45318.79274305556</v>
      </c>
      <c r="Q77" s="77" t="s">
        <v>493</v>
      </c>
      <c r="R77" s="77">
        <v>0</v>
      </c>
      <c r="S77" s="77">
        <v>0</v>
      </c>
      <c r="T77" s="77">
        <v>1</v>
      </c>
      <c r="U77" s="77">
        <v>0</v>
      </c>
      <c r="V77" s="77">
        <v>37</v>
      </c>
      <c r="W77" s="77"/>
      <c r="X77" s="77"/>
      <c r="Y77" s="77"/>
      <c r="Z77" s="77" t="s">
        <v>633</v>
      </c>
      <c r="AA77" s="77"/>
      <c r="AB77" s="77"/>
      <c r="AC77" s="81" t="s">
        <v>674</v>
      </c>
      <c r="AD77" s="77" t="s">
        <v>686</v>
      </c>
      <c r="AE77" s="83" t="str">
        <f>HYPERLINK("https://twitter.com/toonimator/status/1751319552162754926")</f>
        <v>https://twitter.com/toonimator/status/1751319552162754926</v>
      </c>
      <c r="AF77" s="79">
        <v>45318.79274305556</v>
      </c>
      <c r="AG77" s="85">
        <v>45318</v>
      </c>
      <c r="AH77" s="81" t="s">
        <v>738</v>
      </c>
      <c r="AI77" s="77"/>
      <c r="AJ77" s="77"/>
      <c r="AK77" s="77"/>
      <c r="AL77" s="77"/>
      <c r="AM77" s="77"/>
      <c r="AN77" s="77"/>
      <c r="AO77" s="77"/>
      <c r="AP77" s="77"/>
      <c r="AQ77" s="77"/>
      <c r="AR77" s="77"/>
      <c r="AS77" s="77"/>
      <c r="AT77" s="77"/>
      <c r="AU77" s="77"/>
      <c r="AV77" s="83" t="str">
        <f>HYPERLINK("https://pbs.twimg.com/profile_images/1741678371434807296/1vFvxkHb_normal.jpg")</f>
        <v>https://pbs.twimg.com/profile_images/1741678371434807296/1vFvxkHb_normal.jpg</v>
      </c>
      <c r="AW77" s="81" t="s">
        <v>991</v>
      </c>
      <c r="AX77" s="81" t="s">
        <v>1105</v>
      </c>
      <c r="AY77" s="81" t="s">
        <v>1169</v>
      </c>
      <c r="AZ77" s="81" t="s">
        <v>1222</v>
      </c>
      <c r="BA77" s="81" t="s">
        <v>1210</v>
      </c>
      <c r="BB77" s="81" t="s">
        <v>1210</v>
      </c>
      <c r="BC77" s="81" t="s">
        <v>1222</v>
      </c>
      <c r="BD77" s="77">
        <v>393650365</v>
      </c>
      <c r="BE77" s="77"/>
      <c r="BF77" s="77"/>
      <c r="BG77" s="77"/>
      <c r="BH77" s="77"/>
      <c r="BI77" s="77"/>
      <c r="BJ77">
        <v>1</v>
      </c>
      <c r="BK77" s="76" t="str">
        <f>REPLACE(INDEX(GroupVertices[Group],MATCH("~"&amp;Edges[[#This Row],[Vertex 1]],GroupVertices[Vertex],0)),1,1,"")</f>
        <v>17</v>
      </c>
      <c r="BL77" s="76" t="str">
        <f>REPLACE(INDEX(GroupVertices[Group],MATCH("~"&amp;Edges[[#This Row],[Vertex 2]],GroupVertices[Vertex],0)),1,1,"")</f>
        <v>17</v>
      </c>
      <c r="BM77" s="45"/>
      <c r="BN77" s="46"/>
      <c r="BO77" s="45"/>
      <c r="BP77" s="46"/>
      <c r="BQ77" s="45"/>
      <c r="BR77" s="46"/>
      <c r="BS77" s="45"/>
      <c r="BT77" s="46"/>
      <c r="BU77" s="45"/>
    </row>
    <row r="78" spans="1:73" ht="15">
      <c r="A78" s="61" t="s">
        <v>270</v>
      </c>
      <c r="B78" s="61" t="s">
        <v>381</v>
      </c>
      <c r="C78" s="62" t="s">
        <v>11652</v>
      </c>
      <c r="D78" s="63">
        <v>3</v>
      </c>
      <c r="E78" s="64" t="s">
        <v>132</v>
      </c>
      <c r="F78" s="65">
        <v>32</v>
      </c>
      <c r="G78" s="62"/>
      <c r="H78" s="66"/>
      <c r="I78" s="67"/>
      <c r="J78" s="67"/>
      <c r="K78" s="31" t="s">
        <v>65</v>
      </c>
      <c r="L78" s="75">
        <v>78</v>
      </c>
      <c r="M78" s="75"/>
      <c r="N78" s="69"/>
      <c r="O78" s="77" t="s">
        <v>438</v>
      </c>
      <c r="P78" s="79">
        <v>45318.79274305556</v>
      </c>
      <c r="Q78" s="77" t="s">
        <v>493</v>
      </c>
      <c r="R78" s="77">
        <v>0</v>
      </c>
      <c r="S78" s="77">
        <v>0</v>
      </c>
      <c r="T78" s="77">
        <v>1</v>
      </c>
      <c r="U78" s="77">
        <v>0</v>
      </c>
      <c r="V78" s="77">
        <v>37</v>
      </c>
      <c r="W78" s="77"/>
      <c r="X78" s="77"/>
      <c r="Y78" s="77"/>
      <c r="Z78" s="77" t="s">
        <v>633</v>
      </c>
      <c r="AA78" s="77"/>
      <c r="AB78" s="77"/>
      <c r="AC78" s="81" t="s">
        <v>674</v>
      </c>
      <c r="AD78" s="77" t="s">
        <v>686</v>
      </c>
      <c r="AE78" s="83" t="str">
        <f>HYPERLINK("https://twitter.com/toonimator/status/1751319552162754926")</f>
        <v>https://twitter.com/toonimator/status/1751319552162754926</v>
      </c>
      <c r="AF78" s="79">
        <v>45318.79274305556</v>
      </c>
      <c r="AG78" s="85">
        <v>45318</v>
      </c>
      <c r="AH78" s="81" t="s">
        <v>738</v>
      </c>
      <c r="AI78" s="77"/>
      <c r="AJ78" s="77"/>
      <c r="AK78" s="77"/>
      <c r="AL78" s="77"/>
      <c r="AM78" s="77"/>
      <c r="AN78" s="77"/>
      <c r="AO78" s="77"/>
      <c r="AP78" s="77"/>
      <c r="AQ78" s="77"/>
      <c r="AR78" s="77"/>
      <c r="AS78" s="77"/>
      <c r="AT78" s="77"/>
      <c r="AU78" s="77"/>
      <c r="AV78" s="83" t="str">
        <f>HYPERLINK("https://pbs.twimg.com/profile_images/1741678371434807296/1vFvxkHb_normal.jpg")</f>
        <v>https://pbs.twimg.com/profile_images/1741678371434807296/1vFvxkHb_normal.jpg</v>
      </c>
      <c r="AW78" s="81" t="s">
        <v>991</v>
      </c>
      <c r="AX78" s="81" t="s">
        <v>1105</v>
      </c>
      <c r="AY78" s="81" t="s">
        <v>1169</v>
      </c>
      <c r="AZ78" s="81" t="s">
        <v>1222</v>
      </c>
      <c r="BA78" s="81" t="s">
        <v>1210</v>
      </c>
      <c r="BB78" s="81" t="s">
        <v>1210</v>
      </c>
      <c r="BC78" s="81" t="s">
        <v>1222</v>
      </c>
      <c r="BD78" s="77">
        <v>393650365</v>
      </c>
      <c r="BE78" s="77"/>
      <c r="BF78" s="77"/>
      <c r="BG78" s="77"/>
      <c r="BH78" s="77"/>
      <c r="BI78" s="77"/>
      <c r="BJ78">
        <v>1</v>
      </c>
      <c r="BK78" s="76" t="str">
        <f>REPLACE(INDEX(GroupVertices[Group],MATCH("~"&amp;Edges[[#This Row],[Vertex 1]],GroupVertices[Vertex],0)),1,1,"")</f>
        <v>17</v>
      </c>
      <c r="BL78" s="76" t="str">
        <f>REPLACE(INDEX(GroupVertices[Group],MATCH("~"&amp;Edges[[#This Row],[Vertex 2]],GroupVertices[Vertex],0)),1,1,"")</f>
        <v>17</v>
      </c>
      <c r="BM78" s="45">
        <v>2</v>
      </c>
      <c r="BN78" s="46">
        <v>3.7735849056603774</v>
      </c>
      <c r="BO78" s="45">
        <v>1</v>
      </c>
      <c r="BP78" s="46">
        <v>1.8867924528301887</v>
      </c>
      <c r="BQ78" s="45">
        <v>0</v>
      </c>
      <c r="BR78" s="46">
        <v>0</v>
      </c>
      <c r="BS78" s="45">
        <v>25</v>
      </c>
      <c r="BT78" s="46">
        <v>47.16981132075472</v>
      </c>
      <c r="BU78" s="45">
        <v>53</v>
      </c>
    </row>
    <row r="79" spans="1:73" ht="15">
      <c r="A79" s="61" t="s">
        <v>271</v>
      </c>
      <c r="B79" s="61" t="s">
        <v>271</v>
      </c>
      <c r="C79" s="62" t="s">
        <v>11652</v>
      </c>
      <c r="D79" s="63">
        <v>3</v>
      </c>
      <c r="E79" s="64" t="s">
        <v>132</v>
      </c>
      <c r="F79" s="65">
        <v>32</v>
      </c>
      <c r="G79" s="62"/>
      <c r="H79" s="66"/>
      <c r="I79" s="67"/>
      <c r="J79" s="67"/>
      <c r="K79" s="31" t="s">
        <v>65</v>
      </c>
      <c r="L79" s="75">
        <v>79</v>
      </c>
      <c r="M79" s="75"/>
      <c r="N79" s="69"/>
      <c r="O79" s="77" t="s">
        <v>438</v>
      </c>
      <c r="P79" s="79">
        <v>45227.10122685185</v>
      </c>
      <c r="Q79" s="77" t="s">
        <v>494</v>
      </c>
      <c r="R79" s="77">
        <v>0</v>
      </c>
      <c r="S79" s="77">
        <v>0</v>
      </c>
      <c r="T79" s="77">
        <v>1</v>
      </c>
      <c r="U79" s="77">
        <v>0</v>
      </c>
      <c r="V79" s="77">
        <v>96</v>
      </c>
      <c r="W79" s="77"/>
      <c r="X79" s="77"/>
      <c r="Y79" s="77"/>
      <c r="Z79" s="77"/>
      <c r="AA79" s="77"/>
      <c r="AB79" s="77"/>
      <c r="AC79" s="81" t="s">
        <v>674</v>
      </c>
      <c r="AD79" s="77" t="s">
        <v>686</v>
      </c>
      <c r="AE79" s="83" t="str">
        <f>HYPERLINK("https://twitter.com/robotvirgin/status/1718091656577290258")</f>
        <v>https://twitter.com/robotvirgin/status/1718091656577290258</v>
      </c>
      <c r="AF79" s="79">
        <v>45227.10122685185</v>
      </c>
      <c r="AG79" s="85">
        <v>45227</v>
      </c>
      <c r="AH79" s="81" t="s">
        <v>739</v>
      </c>
      <c r="AI79" s="77"/>
      <c r="AJ79" s="77" t="s">
        <v>828</v>
      </c>
      <c r="AK79" s="77" t="s">
        <v>849</v>
      </c>
      <c r="AL79" s="77" t="s">
        <v>850</v>
      </c>
      <c r="AM79" s="77" t="s">
        <v>852</v>
      </c>
      <c r="AN79" s="77" t="s">
        <v>874</v>
      </c>
      <c r="AO79" s="77" t="s">
        <v>896</v>
      </c>
      <c r="AP79" s="77" t="s">
        <v>917</v>
      </c>
      <c r="AQ79" s="77"/>
      <c r="AR79" s="77"/>
      <c r="AS79" s="77"/>
      <c r="AT79" s="77"/>
      <c r="AU79" s="77"/>
      <c r="AV79" s="83" t="str">
        <f>HYPERLINK("https://pbs.twimg.com/profile_images/780984509294534656/U9r2eId9_normal.jpg")</f>
        <v>https://pbs.twimg.com/profile_images/780984509294534656/U9r2eId9_normal.jpg</v>
      </c>
      <c r="AW79" s="81" t="s">
        <v>992</v>
      </c>
      <c r="AX79" s="81" t="s">
        <v>1106</v>
      </c>
      <c r="AY79" s="81" t="s">
        <v>1170</v>
      </c>
      <c r="AZ79" s="81" t="s">
        <v>1106</v>
      </c>
      <c r="BA79" s="81" t="s">
        <v>1210</v>
      </c>
      <c r="BB79" s="81" t="s">
        <v>1210</v>
      </c>
      <c r="BC79" s="81" t="s">
        <v>1106</v>
      </c>
      <c r="BD79" s="77">
        <v>113248179</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2</v>
      </c>
      <c r="BN79" s="46">
        <v>5.555555555555555</v>
      </c>
      <c r="BO79" s="45">
        <v>2</v>
      </c>
      <c r="BP79" s="46">
        <v>5.555555555555555</v>
      </c>
      <c r="BQ79" s="45">
        <v>0</v>
      </c>
      <c r="BR79" s="46">
        <v>0</v>
      </c>
      <c r="BS79" s="45">
        <v>17</v>
      </c>
      <c r="BT79" s="46">
        <v>47.22222222222222</v>
      </c>
      <c r="BU79" s="45">
        <v>36</v>
      </c>
    </row>
    <row r="80" spans="1:73" ht="15">
      <c r="A80" s="61" t="s">
        <v>272</v>
      </c>
      <c r="B80" s="61" t="s">
        <v>382</v>
      </c>
      <c r="C80" s="62" t="s">
        <v>11652</v>
      </c>
      <c r="D80" s="63">
        <v>3</v>
      </c>
      <c r="E80" s="64" t="s">
        <v>132</v>
      </c>
      <c r="F80" s="65">
        <v>32</v>
      </c>
      <c r="G80" s="62"/>
      <c r="H80" s="66"/>
      <c r="I80" s="67"/>
      <c r="J80" s="67"/>
      <c r="K80" s="31" t="s">
        <v>65</v>
      </c>
      <c r="L80" s="75">
        <v>80</v>
      </c>
      <c r="M80" s="75"/>
      <c r="N80" s="69"/>
      <c r="O80" s="77" t="s">
        <v>438</v>
      </c>
      <c r="P80" s="79">
        <v>45315.627071759256</v>
      </c>
      <c r="Q80" s="77" t="s">
        <v>495</v>
      </c>
      <c r="R80" s="77">
        <v>0</v>
      </c>
      <c r="S80" s="77">
        <v>3</v>
      </c>
      <c r="T80" s="77">
        <v>0</v>
      </c>
      <c r="U80" s="77">
        <v>0</v>
      </c>
      <c r="V80" s="77">
        <v>52</v>
      </c>
      <c r="W80" s="77"/>
      <c r="X80" s="77"/>
      <c r="Y80" s="77"/>
      <c r="Z80" s="77" t="s">
        <v>382</v>
      </c>
      <c r="AA80" s="77"/>
      <c r="AB80" s="77"/>
      <c r="AC80" s="81" t="s">
        <v>674</v>
      </c>
      <c r="AD80" s="77" t="s">
        <v>686</v>
      </c>
      <c r="AE80" s="83" t="str">
        <f>HYPERLINK("https://twitter.com/shooty_mcbooty/status/1750172350073696433")</f>
        <v>https://twitter.com/shooty_mcbooty/status/1750172350073696433</v>
      </c>
      <c r="AF80" s="79">
        <v>45315.627071759256</v>
      </c>
      <c r="AG80" s="85">
        <v>45315</v>
      </c>
      <c r="AH80" s="81" t="s">
        <v>740</v>
      </c>
      <c r="AI80" s="77"/>
      <c r="AJ80" s="77"/>
      <c r="AK80" s="77"/>
      <c r="AL80" s="77"/>
      <c r="AM80" s="77"/>
      <c r="AN80" s="77"/>
      <c r="AO80" s="77"/>
      <c r="AP80" s="77"/>
      <c r="AQ80" s="77"/>
      <c r="AR80" s="77"/>
      <c r="AS80" s="77"/>
      <c r="AT80" s="77"/>
      <c r="AU80" s="77"/>
      <c r="AV80" s="83" t="str">
        <f>HYPERLINK("https://pbs.twimg.com/profile_images/1365860689361862657/4Mg2YzeF_normal.jpg")</f>
        <v>https://pbs.twimg.com/profile_images/1365860689361862657/4Mg2YzeF_normal.jpg</v>
      </c>
      <c r="AW80" s="81" t="s">
        <v>993</v>
      </c>
      <c r="AX80" s="81" t="s">
        <v>1107</v>
      </c>
      <c r="AY80" s="81" t="s">
        <v>1171</v>
      </c>
      <c r="AZ80" s="81" t="s">
        <v>1107</v>
      </c>
      <c r="BA80" s="81" t="s">
        <v>1210</v>
      </c>
      <c r="BB80" s="81" t="s">
        <v>1210</v>
      </c>
      <c r="BC80" s="81" t="s">
        <v>1107</v>
      </c>
      <c r="BD80" s="81" t="s">
        <v>1257</v>
      </c>
      <c r="BE80" s="77"/>
      <c r="BF80" s="77"/>
      <c r="BG80" s="77"/>
      <c r="BH80" s="77"/>
      <c r="BI80" s="77"/>
      <c r="BJ80">
        <v>1</v>
      </c>
      <c r="BK80" s="76" t="str">
        <f>REPLACE(INDEX(GroupVertices[Group],MATCH("~"&amp;Edges[[#This Row],[Vertex 1]],GroupVertices[Vertex],0)),1,1,"")</f>
        <v>53</v>
      </c>
      <c r="BL80" s="76" t="str">
        <f>REPLACE(INDEX(GroupVertices[Group],MATCH("~"&amp;Edges[[#This Row],[Vertex 2]],GroupVertices[Vertex],0)),1,1,"")</f>
        <v>53</v>
      </c>
      <c r="BM80" s="45">
        <v>0</v>
      </c>
      <c r="BN80" s="46">
        <v>0</v>
      </c>
      <c r="BO80" s="45">
        <v>2</v>
      </c>
      <c r="BP80" s="46">
        <v>15.384615384615385</v>
      </c>
      <c r="BQ80" s="45">
        <v>0</v>
      </c>
      <c r="BR80" s="46">
        <v>0</v>
      </c>
      <c r="BS80" s="45">
        <v>6</v>
      </c>
      <c r="BT80" s="46">
        <v>46.15384615384615</v>
      </c>
      <c r="BU80" s="45">
        <v>13</v>
      </c>
    </row>
    <row r="81" spans="1:73" ht="15">
      <c r="A81" s="61" t="s">
        <v>273</v>
      </c>
      <c r="B81" s="61" t="s">
        <v>383</v>
      </c>
      <c r="C81" s="62" t="s">
        <v>11652</v>
      </c>
      <c r="D81" s="63">
        <v>3</v>
      </c>
      <c r="E81" s="64" t="s">
        <v>132</v>
      </c>
      <c r="F81" s="65">
        <v>32</v>
      </c>
      <c r="G81" s="62"/>
      <c r="H81" s="66"/>
      <c r="I81" s="67"/>
      <c r="J81" s="67"/>
      <c r="K81" s="31" t="s">
        <v>65</v>
      </c>
      <c r="L81" s="75">
        <v>81</v>
      </c>
      <c r="M81" s="75"/>
      <c r="N81" s="69"/>
      <c r="O81" s="77" t="s">
        <v>438</v>
      </c>
      <c r="P81" s="79">
        <v>44976.961597222224</v>
      </c>
      <c r="Q81" s="77" t="s">
        <v>496</v>
      </c>
      <c r="R81" s="77">
        <v>0</v>
      </c>
      <c r="S81" s="77">
        <v>0</v>
      </c>
      <c r="T81" s="77">
        <v>0</v>
      </c>
      <c r="U81" s="77">
        <v>0</v>
      </c>
      <c r="V81" s="77">
        <v>171</v>
      </c>
      <c r="W81" s="77"/>
      <c r="X81" s="77"/>
      <c r="Y81" s="77"/>
      <c r="Z81" s="77" t="s">
        <v>383</v>
      </c>
      <c r="AA81" s="77"/>
      <c r="AB81" s="77"/>
      <c r="AC81" s="81" t="s">
        <v>677</v>
      </c>
      <c r="AD81" s="77" t="s">
        <v>686</v>
      </c>
      <c r="AE81" s="83" t="str">
        <f>HYPERLINK("https://twitter.com/theemsmolly/status/1627444091712831488")</f>
        <v>https://twitter.com/theemsmolly/status/1627444091712831488</v>
      </c>
      <c r="AF81" s="79">
        <v>44976.961597222224</v>
      </c>
      <c r="AG81" s="85">
        <v>44976</v>
      </c>
      <c r="AH81" s="81" t="s">
        <v>741</v>
      </c>
      <c r="AI81" s="77"/>
      <c r="AJ81" s="77" t="s">
        <v>839</v>
      </c>
      <c r="AK81" s="77" t="s">
        <v>849</v>
      </c>
      <c r="AL81" s="77" t="s">
        <v>850</v>
      </c>
      <c r="AM81" s="77" t="s">
        <v>863</v>
      </c>
      <c r="AN81" s="77" t="s">
        <v>885</v>
      </c>
      <c r="AO81" s="77" t="s">
        <v>907</v>
      </c>
      <c r="AP81" s="77" t="s">
        <v>917</v>
      </c>
      <c r="AQ81" s="77"/>
      <c r="AR81" s="77"/>
      <c r="AS81" s="77"/>
      <c r="AT81" s="77"/>
      <c r="AU81" s="77"/>
      <c r="AV81" s="83" t="str">
        <f>HYPERLINK("https://pbs.twimg.com/profile_images/1661788957552820224/HIMWkMS1_normal.jpg")</f>
        <v>https://pbs.twimg.com/profile_images/1661788957552820224/HIMWkMS1_normal.jpg</v>
      </c>
      <c r="AW81" s="81" t="s">
        <v>994</v>
      </c>
      <c r="AX81" s="81" t="s">
        <v>1108</v>
      </c>
      <c r="AY81" s="81" t="s">
        <v>1172</v>
      </c>
      <c r="AZ81" s="81" t="s">
        <v>1108</v>
      </c>
      <c r="BA81" s="81" t="s">
        <v>1210</v>
      </c>
      <c r="BB81" s="81" t="s">
        <v>1210</v>
      </c>
      <c r="BC81" s="81" t="s">
        <v>1108</v>
      </c>
      <c r="BD81" s="81" t="s">
        <v>1258</v>
      </c>
      <c r="BE81" s="77"/>
      <c r="BF81" s="77"/>
      <c r="BG81" s="77"/>
      <c r="BH81" s="77"/>
      <c r="BI81" s="77"/>
      <c r="BJ81">
        <v>1</v>
      </c>
      <c r="BK81" s="76" t="str">
        <f>REPLACE(INDEX(GroupVertices[Group],MATCH("~"&amp;Edges[[#This Row],[Vertex 1]],GroupVertices[Vertex],0)),1,1,"")</f>
        <v>52</v>
      </c>
      <c r="BL81" s="76" t="str">
        <f>REPLACE(INDEX(GroupVertices[Group],MATCH("~"&amp;Edges[[#This Row],[Vertex 2]],GroupVertices[Vertex],0)),1,1,"")</f>
        <v>52</v>
      </c>
      <c r="BM81" s="45">
        <v>1</v>
      </c>
      <c r="BN81" s="46">
        <v>2</v>
      </c>
      <c r="BO81" s="45">
        <v>0</v>
      </c>
      <c r="BP81" s="46">
        <v>0</v>
      </c>
      <c r="BQ81" s="45">
        <v>0</v>
      </c>
      <c r="BR81" s="46">
        <v>0</v>
      </c>
      <c r="BS81" s="45">
        <v>16</v>
      </c>
      <c r="BT81" s="46">
        <v>32</v>
      </c>
      <c r="BU81" s="45">
        <v>50</v>
      </c>
    </row>
    <row r="82" spans="1:73" ht="15">
      <c r="A82" s="61" t="s">
        <v>274</v>
      </c>
      <c r="B82" s="61" t="s">
        <v>384</v>
      </c>
      <c r="C82" s="62" t="s">
        <v>11652</v>
      </c>
      <c r="D82" s="63">
        <v>3</v>
      </c>
      <c r="E82" s="64" t="s">
        <v>132</v>
      </c>
      <c r="F82" s="65">
        <v>32</v>
      </c>
      <c r="G82" s="62"/>
      <c r="H82" s="66"/>
      <c r="I82" s="67"/>
      <c r="J82" s="67"/>
      <c r="K82" s="31" t="s">
        <v>65</v>
      </c>
      <c r="L82" s="75">
        <v>82</v>
      </c>
      <c r="M82" s="75"/>
      <c r="N82" s="69"/>
      <c r="O82" s="77" t="s">
        <v>438</v>
      </c>
      <c r="P82" s="79">
        <v>45313.65594907408</v>
      </c>
      <c r="Q82" s="77" t="s">
        <v>497</v>
      </c>
      <c r="R82" s="77">
        <v>0</v>
      </c>
      <c r="S82" s="77">
        <v>1</v>
      </c>
      <c r="T82" s="77">
        <v>0</v>
      </c>
      <c r="U82" s="77">
        <v>0</v>
      </c>
      <c r="V82" s="77">
        <v>7</v>
      </c>
      <c r="W82" s="77"/>
      <c r="X82" s="77"/>
      <c r="Y82" s="77"/>
      <c r="Z82" s="77" t="s">
        <v>384</v>
      </c>
      <c r="AA82" s="77"/>
      <c r="AB82" s="77"/>
      <c r="AC82" s="81" t="s">
        <v>677</v>
      </c>
      <c r="AD82" s="77" t="s">
        <v>686</v>
      </c>
      <c r="AE82" s="83" t="str">
        <f>HYPERLINK("https://twitter.com/fauxnamerice/status/1749458037751038128")</f>
        <v>https://twitter.com/fauxnamerice/status/1749458037751038128</v>
      </c>
      <c r="AF82" s="79">
        <v>45313.65594907408</v>
      </c>
      <c r="AG82" s="85">
        <v>45313</v>
      </c>
      <c r="AH82" s="81" t="s">
        <v>742</v>
      </c>
      <c r="AI82" s="77"/>
      <c r="AJ82" s="77" t="s">
        <v>840</v>
      </c>
      <c r="AK82" s="77" t="s">
        <v>849</v>
      </c>
      <c r="AL82" s="77" t="s">
        <v>850</v>
      </c>
      <c r="AM82" s="77" t="s">
        <v>864</v>
      </c>
      <c r="AN82" s="77" t="s">
        <v>886</v>
      </c>
      <c r="AO82" s="77" t="s">
        <v>908</v>
      </c>
      <c r="AP82" s="77" t="s">
        <v>917</v>
      </c>
      <c r="AQ82" s="77"/>
      <c r="AR82" s="77"/>
      <c r="AS82" s="77"/>
      <c r="AT82" s="77"/>
      <c r="AU82" s="77"/>
      <c r="AV82" s="83" t="str">
        <f>HYPERLINK("https://pbs.twimg.com/profile_images/1470867992049172482/6ZgPwl2r_normal.jpg")</f>
        <v>https://pbs.twimg.com/profile_images/1470867992049172482/6ZgPwl2r_normal.jpg</v>
      </c>
      <c r="AW82" s="81" t="s">
        <v>995</v>
      </c>
      <c r="AX82" s="81" t="s">
        <v>1109</v>
      </c>
      <c r="AY82" s="81" t="s">
        <v>1173</v>
      </c>
      <c r="AZ82" s="81" t="s">
        <v>1109</v>
      </c>
      <c r="BA82" s="81" t="s">
        <v>1210</v>
      </c>
      <c r="BB82" s="81" t="s">
        <v>1210</v>
      </c>
      <c r="BC82" s="81" t="s">
        <v>1109</v>
      </c>
      <c r="BD82" s="77">
        <v>3193949707</v>
      </c>
      <c r="BE82" s="77"/>
      <c r="BF82" s="77"/>
      <c r="BG82" s="77"/>
      <c r="BH82" s="77"/>
      <c r="BI82" s="77"/>
      <c r="BJ82">
        <v>1</v>
      </c>
      <c r="BK82" s="76" t="str">
        <f>REPLACE(INDEX(GroupVertices[Group],MATCH("~"&amp;Edges[[#This Row],[Vertex 1]],GroupVertices[Vertex],0)),1,1,"")</f>
        <v>51</v>
      </c>
      <c r="BL82" s="76" t="str">
        <f>REPLACE(INDEX(GroupVertices[Group],MATCH("~"&amp;Edges[[#This Row],[Vertex 2]],GroupVertices[Vertex],0)),1,1,"")</f>
        <v>51</v>
      </c>
      <c r="BM82" s="45">
        <v>1</v>
      </c>
      <c r="BN82" s="46">
        <v>7.6923076923076925</v>
      </c>
      <c r="BO82" s="45">
        <v>2</v>
      </c>
      <c r="BP82" s="46">
        <v>15.384615384615385</v>
      </c>
      <c r="BQ82" s="45">
        <v>0</v>
      </c>
      <c r="BR82" s="46">
        <v>0</v>
      </c>
      <c r="BS82" s="45">
        <v>5</v>
      </c>
      <c r="BT82" s="46">
        <v>38.46153846153846</v>
      </c>
      <c r="BU82" s="45">
        <v>13</v>
      </c>
    </row>
    <row r="83" spans="1:73" ht="15">
      <c r="A83" s="61" t="s">
        <v>275</v>
      </c>
      <c r="B83" s="61" t="s">
        <v>385</v>
      </c>
      <c r="C83" s="62" t="s">
        <v>11652</v>
      </c>
      <c r="D83" s="63">
        <v>3</v>
      </c>
      <c r="E83" s="64" t="s">
        <v>132</v>
      </c>
      <c r="F83" s="65">
        <v>32</v>
      </c>
      <c r="G83" s="62"/>
      <c r="H83" s="66"/>
      <c r="I83" s="67"/>
      <c r="J83" s="67"/>
      <c r="K83" s="31" t="s">
        <v>65</v>
      </c>
      <c r="L83" s="75">
        <v>83</v>
      </c>
      <c r="M83" s="75"/>
      <c r="N83" s="69"/>
      <c r="O83" s="77" t="s">
        <v>438</v>
      </c>
      <c r="P83" s="79">
        <v>44983.14701388889</v>
      </c>
      <c r="Q83" s="77" t="s">
        <v>498</v>
      </c>
      <c r="R83" s="77">
        <v>0</v>
      </c>
      <c r="S83" s="77">
        <v>0</v>
      </c>
      <c r="T83" s="77">
        <v>0</v>
      </c>
      <c r="U83" s="77">
        <v>0</v>
      </c>
      <c r="V83" s="77">
        <v>2</v>
      </c>
      <c r="W83" s="77"/>
      <c r="X83" s="77"/>
      <c r="Y83" s="77"/>
      <c r="Z83" s="77" t="s">
        <v>385</v>
      </c>
      <c r="AA83" s="77"/>
      <c r="AB83" s="77"/>
      <c r="AC83" s="81" t="s">
        <v>674</v>
      </c>
      <c r="AD83" s="77" t="s">
        <v>686</v>
      </c>
      <c r="AE83" s="83" t="str">
        <f>HYPERLINK("https://twitter.com/lisaandemma/status/1629685613338447872")</f>
        <v>https://twitter.com/lisaandemma/status/1629685613338447872</v>
      </c>
      <c r="AF83" s="79">
        <v>44983.14701388889</v>
      </c>
      <c r="AG83" s="85">
        <v>44983</v>
      </c>
      <c r="AH83" s="81" t="s">
        <v>743</v>
      </c>
      <c r="AI83" s="77"/>
      <c r="AJ83" s="77" t="s">
        <v>831</v>
      </c>
      <c r="AK83" s="77" t="s">
        <v>849</v>
      </c>
      <c r="AL83" s="77" t="s">
        <v>850</v>
      </c>
      <c r="AM83" s="77" t="s">
        <v>855</v>
      </c>
      <c r="AN83" s="77" t="s">
        <v>877</v>
      </c>
      <c r="AO83" s="77" t="s">
        <v>899</v>
      </c>
      <c r="AP83" s="77" t="s">
        <v>917</v>
      </c>
      <c r="AQ83" s="77"/>
      <c r="AR83" s="77"/>
      <c r="AS83" s="77"/>
      <c r="AT83" s="77"/>
      <c r="AU83" s="77"/>
      <c r="AV83" s="83" t="str">
        <f>HYPERLINK("https://pbs.twimg.com/profile_images/1578616541268312064/GHskXwz6_normal.jpg")</f>
        <v>https://pbs.twimg.com/profile_images/1578616541268312064/GHskXwz6_normal.jpg</v>
      </c>
      <c r="AW83" s="81" t="s">
        <v>996</v>
      </c>
      <c r="AX83" s="81" t="s">
        <v>1110</v>
      </c>
      <c r="AY83" s="81" t="s">
        <v>1174</v>
      </c>
      <c r="AZ83" s="81" t="s">
        <v>1110</v>
      </c>
      <c r="BA83" s="81" t="s">
        <v>1210</v>
      </c>
      <c r="BB83" s="81" t="s">
        <v>1210</v>
      </c>
      <c r="BC83" s="81" t="s">
        <v>1110</v>
      </c>
      <c r="BD83" s="81" t="s">
        <v>1259</v>
      </c>
      <c r="BE83" s="77"/>
      <c r="BF83" s="77"/>
      <c r="BG83" s="77"/>
      <c r="BH83" s="77"/>
      <c r="BI83" s="77"/>
      <c r="BJ83">
        <v>1</v>
      </c>
      <c r="BK83" s="76" t="str">
        <f>REPLACE(INDEX(GroupVertices[Group],MATCH("~"&amp;Edges[[#This Row],[Vertex 1]],GroupVertices[Vertex],0)),1,1,"")</f>
        <v>50</v>
      </c>
      <c r="BL83" s="76" t="str">
        <f>REPLACE(INDEX(GroupVertices[Group],MATCH("~"&amp;Edges[[#This Row],[Vertex 2]],GroupVertices[Vertex],0)),1,1,"")</f>
        <v>50</v>
      </c>
      <c r="BM83" s="45">
        <v>1</v>
      </c>
      <c r="BN83" s="46">
        <v>3.225806451612903</v>
      </c>
      <c r="BO83" s="45">
        <v>3</v>
      </c>
      <c r="BP83" s="46">
        <v>9.67741935483871</v>
      </c>
      <c r="BQ83" s="45">
        <v>0</v>
      </c>
      <c r="BR83" s="46">
        <v>0</v>
      </c>
      <c r="BS83" s="45">
        <v>9</v>
      </c>
      <c r="BT83" s="46">
        <v>29.032258064516128</v>
      </c>
      <c r="BU83" s="45">
        <v>31</v>
      </c>
    </row>
    <row r="84" spans="1:73" ht="15">
      <c r="A84" s="61" t="s">
        <v>276</v>
      </c>
      <c r="B84" s="61" t="s">
        <v>276</v>
      </c>
      <c r="C84" s="62" t="s">
        <v>11652</v>
      </c>
      <c r="D84" s="63">
        <v>3</v>
      </c>
      <c r="E84" s="64" t="s">
        <v>132</v>
      </c>
      <c r="F84" s="65">
        <v>32</v>
      </c>
      <c r="G84" s="62"/>
      <c r="H84" s="66"/>
      <c r="I84" s="67"/>
      <c r="J84" s="67"/>
      <c r="K84" s="31" t="s">
        <v>65</v>
      </c>
      <c r="L84" s="75">
        <v>84</v>
      </c>
      <c r="M84" s="75"/>
      <c r="N84" s="69"/>
      <c r="O84" s="77" t="s">
        <v>178</v>
      </c>
      <c r="P84" s="79">
        <v>45315.891597222224</v>
      </c>
      <c r="Q84" s="77" t="s">
        <v>499</v>
      </c>
      <c r="R84" s="77">
        <v>0</v>
      </c>
      <c r="S84" s="77">
        <v>0</v>
      </c>
      <c r="T84" s="77">
        <v>0</v>
      </c>
      <c r="U84" s="77">
        <v>0</v>
      </c>
      <c r="V84" s="77">
        <v>12</v>
      </c>
      <c r="W84" s="77"/>
      <c r="X84" s="77"/>
      <c r="Y84" s="77"/>
      <c r="Z84" s="77"/>
      <c r="AA84" s="77"/>
      <c r="AB84" s="77"/>
      <c r="AC84" s="81" t="s">
        <v>675</v>
      </c>
      <c r="AD84" s="77" t="s">
        <v>686</v>
      </c>
      <c r="AE84" s="83" t="str">
        <f>HYPERLINK("https://twitter.com/tinastinnett007/status/1750268210950377921")</f>
        <v>https://twitter.com/tinastinnett007/status/1750268210950377921</v>
      </c>
      <c r="AF84" s="79">
        <v>45315.891597222224</v>
      </c>
      <c r="AG84" s="85">
        <v>45315</v>
      </c>
      <c r="AH84" s="81" t="s">
        <v>744</v>
      </c>
      <c r="AI84" s="77"/>
      <c r="AJ84" s="77"/>
      <c r="AK84" s="77"/>
      <c r="AL84" s="77"/>
      <c r="AM84" s="77"/>
      <c r="AN84" s="77"/>
      <c r="AO84" s="77"/>
      <c r="AP84" s="77"/>
      <c r="AQ84" s="77"/>
      <c r="AR84" s="77"/>
      <c r="AS84" s="77"/>
      <c r="AT84" s="77"/>
      <c r="AU84" s="77"/>
      <c r="AV84" s="83" t="str">
        <f>HYPERLINK("https://pbs.twimg.com/profile_images/1748991831080390656/gkpQDJCd_normal.jpg")</f>
        <v>https://pbs.twimg.com/profile_images/1748991831080390656/gkpQDJCd_normal.jpg</v>
      </c>
      <c r="AW84" s="81" t="s">
        <v>997</v>
      </c>
      <c r="AX84" s="81" t="s">
        <v>997</v>
      </c>
      <c r="AY84" s="77"/>
      <c r="AZ84" s="81" t="s">
        <v>1210</v>
      </c>
      <c r="BA84" s="81" t="s">
        <v>1210</v>
      </c>
      <c r="BB84" s="81" t="s">
        <v>1210</v>
      </c>
      <c r="BC84" s="81" t="s">
        <v>997</v>
      </c>
      <c r="BD84" s="81" t="s">
        <v>1260</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v>0</v>
      </c>
      <c r="BN84" s="46">
        <v>0</v>
      </c>
      <c r="BO84" s="45">
        <v>2</v>
      </c>
      <c r="BP84" s="46">
        <v>4.545454545454546</v>
      </c>
      <c r="BQ84" s="45">
        <v>0</v>
      </c>
      <c r="BR84" s="46">
        <v>0</v>
      </c>
      <c r="BS84" s="45">
        <v>23</v>
      </c>
      <c r="BT84" s="46">
        <v>52.27272727272727</v>
      </c>
      <c r="BU84" s="45">
        <v>44</v>
      </c>
    </row>
    <row r="85" spans="1:73" ht="15">
      <c r="A85" s="61" t="s">
        <v>277</v>
      </c>
      <c r="B85" s="61" t="s">
        <v>386</v>
      </c>
      <c r="C85" s="62" t="s">
        <v>11652</v>
      </c>
      <c r="D85" s="63">
        <v>3</v>
      </c>
      <c r="E85" s="64" t="s">
        <v>132</v>
      </c>
      <c r="F85" s="65">
        <v>32</v>
      </c>
      <c r="G85" s="62"/>
      <c r="H85" s="66"/>
      <c r="I85" s="67"/>
      <c r="J85" s="67"/>
      <c r="K85" s="31" t="s">
        <v>65</v>
      </c>
      <c r="L85" s="75">
        <v>85</v>
      </c>
      <c r="M85" s="75"/>
      <c r="N85" s="69"/>
      <c r="O85" s="77" t="s">
        <v>438</v>
      </c>
      <c r="P85" s="79">
        <v>45240.30944444444</v>
      </c>
      <c r="Q85" s="77" t="s">
        <v>500</v>
      </c>
      <c r="R85" s="77">
        <v>0</v>
      </c>
      <c r="S85" s="77">
        <v>1</v>
      </c>
      <c r="T85" s="77">
        <v>0</v>
      </c>
      <c r="U85" s="77">
        <v>0</v>
      </c>
      <c r="V85" s="77">
        <v>84</v>
      </c>
      <c r="W85" s="77"/>
      <c r="X85" s="77"/>
      <c r="Y85" s="77"/>
      <c r="Z85" s="77" t="s">
        <v>386</v>
      </c>
      <c r="AA85" s="77"/>
      <c r="AB85" s="77"/>
      <c r="AC85" s="81" t="s">
        <v>674</v>
      </c>
      <c r="AD85" s="77" t="s">
        <v>686</v>
      </c>
      <c r="AE85" s="83" t="str">
        <f>HYPERLINK("https://twitter.com/pdxfanatic/status/1722878157601259996")</f>
        <v>https://twitter.com/pdxfanatic/status/1722878157601259996</v>
      </c>
      <c r="AF85" s="79">
        <v>45240.30944444444</v>
      </c>
      <c r="AG85" s="85">
        <v>45240</v>
      </c>
      <c r="AH85" s="81" t="s">
        <v>745</v>
      </c>
      <c r="AI85" s="77"/>
      <c r="AJ85" s="77" t="s">
        <v>828</v>
      </c>
      <c r="AK85" s="77" t="s">
        <v>849</v>
      </c>
      <c r="AL85" s="77" t="s">
        <v>850</v>
      </c>
      <c r="AM85" s="77" t="s">
        <v>852</v>
      </c>
      <c r="AN85" s="77" t="s">
        <v>874</v>
      </c>
      <c r="AO85" s="77" t="s">
        <v>896</v>
      </c>
      <c r="AP85" s="77" t="s">
        <v>917</v>
      </c>
      <c r="AQ85" s="77"/>
      <c r="AR85" s="77"/>
      <c r="AS85" s="77"/>
      <c r="AT85" s="77"/>
      <c r="AU85" s="77"/>
      <c r="AV85" s="83" t="str">
        <f>HYPERLINK("https://pbs.twimg.com/profile_images/1365454116282015744/plK0nNxu_normal.jpg")</f>
        <v>https://pbs.twimg.com/profile_images/1365454116282015744/plK0nNxu_normal.jpg</v>
      </c>
      <c r="AW85" s="81" t="s">
        <v>998</v>
      </c>
      <c r="AX85" s="81" t="s">
        <v>1111</v>
      </c>
      <c r="AY85" s="81" t="s">
        <v>1175</v>
      </c>
      <c r="AZ85" s="81" t="s">
        <v>1111</v>
      </c>
      <c r="BA85" s="81" t="s">
        <v>1210</v>
      </c>
      <c r="BB85" s="81" t="s">
        <v>1210</v>
      </c>
      <c r="BC85" s="81" t="s">
        <v>1111</v>
      </c>
      <c r="BD85" s="77">
        <v>76211602</v>
      </c>
      <c r="BE85" s="77"/>
      <c r="BF85" s="77"/>
      <c r="BG85" s="77"/>
      <c r="BH85" s="77"/>
      <c r="BI85" s="77"/>
      <c r="BJ85">
        <v>1</v>
      </c>
      <c r="BK85" s="76" t="str">
        <f>REPLACE(INDEX(GroupVertices[Group],MATCH("~"&amp;Edges[[#This Row],[Vertex 1]],GroupVertices[Vertex],0)),1,1,"")</f>
        <v>49</v>
      </c>
      <c r="BL85" s="76" t="str">
        <f>REPLACE(INDEX(GroupVertices[Group],MATCH("~"&amp;Edges[[#This Row],[Vertex 2]],GroupVertices[Vertex],0)),1,1,"")</f>
        <v>49</v>
      </c>
      <c r="BM85" s="45">
        <v>1</v>
      </c>
      <c r="BN85" s="46">
        <v>2.4390243902439024</v>
      </c>
      <c r="BO85" s="45">
        <v>4</v>
      </c>
      <c r="BP85" s="46">
        <v>9.75609756097561</v>
      </c>
      <c r="BQ85" s="45">
        <v>0</v>
      </c>
      <c r="BR85" s="46">
        <v>0</v>
      </c>
      <c r="BS85" s="45">
        <v>14</v>
      </c>
      <c r="BT85" s="46">
        <v>34.146341463414636</v>
      </c>
      <c r="BU85" s="45">
        <v>41</v>
      </c>
    </row>
    <row r="86" spans="1:73" ht="15">
      <c r="A86" s="61" t="s">
        <v>278</v>
      </c>
      <c r="B86" s="61" t="s">
        <v>294</v>
      </c>
      <c r="C86" s="62" t="s">
        <v>11652</v>
      </c>
      <c r="D86" s="63">
        <v>3</v>
      </c>
      <c r="E86" s="64" t="s">
        <v>132</v>
      </c>
      <c r="F86" s="65">
        <v>32</v>
      </c>
      <c r="G86" s="62"/>
      <c r="H86" s="66"/>
      <c r="I86" s="67"/>
      <c r="J86" s="67"/>
      <c r="K86" s="31" t="s">
        <v>65</v>
      </c>
      <c r="L86" s="75">
        <v>86</v>
      </c>
      <c r="M86" s="75"/>
      <c r="N86" s="69"/>
      <c r="O86" s="77" t="s">
        <v>439</v>
      </c>
      <c r="P86" s="79">
        <v>45021.75048611111</v>
      </c>
      <c r="Q86" s="77" t="s">
        <v>501</v>
      </c>
      <c r="R86" s="77">
        <v>0</v>
      </c>
      <c r="S86" s="77">
        <v>0</v>
      </c>
      <c r="T86" s="77">
        <v>1</v>
      </c>
      <c r="U86" s="77">
        <v>0</v>
      </c>
      <c r="V86" s="77">
        <v>394</v>
      </c>
      <c r="W86" s="81" t="s">
        <v>589</v>
      </c>
      <c r="X86" s="77"/>
      <c r="Y86" s="77"/>
      <c r="Z86" s="77"/>
      <c r="AA86" s="77"/>
      <c r="AB86" s="77"/>
      <c r="AC86" s="81" t="s">
        <v>677</v>
      </c>
      <c r="AD86" s="77" t="s">
        <v>686</v>
      </c>
      <c r="AE86" s="83" t="str">
        <f>HYPERLINK("https://twitter.com/w7enk/status/1643675040540684288")</f>
        <v>https://twitter.com/w7enk/status/1643675040540684288</v>
      </c>
      <c r="AF86" s="79">
        <v>45021.75048611111</v>
      </c>
      <c r="AG86" s="85">
        <v>45021</v>
      </c>
      <c r="AH86" s="81" t="s">
        <v>746</v>
      </c>
      <c r="AI86" s="77"/>
      <c r="AJ86" s="77" t="s">
        <v>841</v>
      </c>
      <c r="AK86" s="77" t="s">
        <v>849</v>
      </c>
      <c r="AL86" s="77" t="s">
        <v>850</v>
      </c>
      <c r="AM86" s="77" t="s">
        <v>865</v>
      </c>
      <c r="AN86" s="86" t="s">
        <v>887</v>
      </c>
      <c r="AO86" s="77" t="s">
        <v>909</v>
      </c>
      <c r="AP86" s="77" t="s">
        <v>917</v>
      </c>
      <c r="AQ86" s="77"/>
      <c r="AR86" s="77"/>
      <c r="AS86" s="77"/>
      <c r="AT86" s="77"/>
      <c r="AU86" s="77"/>
      <c r="AV86" s="83" t="str">
        <f>HYPERLINK("https://pbs.twimg.com/profile_images/1732624555796221952/H6U0Es58_normal.jpg")</f>
        <v>https://pbs.twimg.com/profile_images/1732624555796221952/H6U0Es58_normal.jpg</v>
      </c>
      <c r="AW86" s="81" t="s">
        <v>999</v>
      </c>
      <c r="AX86" s="81" t="s">
        <v>999</v>
      </c>
      <c r="AY86" s="77"/>
      <c r="AZ86" s="81" t="s">
        <v>1210</v>
      </c>
      <c r="BA86" s="81" t="s">
        <v>1019</v>
      </c>
      <c r="BB86" s="81" t="s">
        <v>1210</v>
      </c>
      <c r="BC86" s="81" t="s">
        <v>1019</v>
      </c>
      <c r="BD86" s="81" t="s">
        <v>1261</v>
      </c>
      <c r="BE86" s="77"/>
      <c r="BF86" s="77"/>
      <c r="BG86" s="77"/>
      <c r="BH86" s="77"/>
      <c r="BI86" s="77"/>
      <c r="BJ86">
        <v>1</v>
      </c>
      <c r="BK86" s="76" t="str">
        <f>REPLACE(INDEX(GroupVertices[Group],MATCH("~"&amp;Edges[[#This Row],[Vertex 1]],GroupVertices[Vertex],0)),1,1,"")</f>
        <v>48</v>
      </c>
      <c r="BL86" s="76" t="str">
        <f>REPLACE(INDEX(GroupVertices[Group],MATCH("~"&amp;Edges[[#This Row],[Vertex 2]],GroupVertices[Vertex],0)),1,1,"")</f>
        <v>48</v>
      </c>
      <c r="BM86" s="45">
        <v>1</v>
      </c>
      <c r="BN86" s="46">
        <v>2.127659574468085</v>
      </c>
      <c r="BO86" s="45">
        <v>3</v>
      </c>
      <c r="BP86" s="46">
        <v>6.382978723404255</v>
      </c>
      <c r="BQ86" s="45">
        <v>0</v>
      </c>
      <c r="BR86" s="46">
        <v>0</v>
      </c>
      <c r="BS86" s="45">
        <v>22</v>
      </c>
      <c r="BT86" s="46">
        <v>46.808510638297875</v>
      </c>
      <c r="BU86" s="45">
        <v>47</v>
      </c>
    </row>
    <row r="87" spans="1:73" ht="15">
      <c r="A87" s="61" t="s">
        <v>279</v>
      </c>
      <c r="B87" s="61" t="s">
        <v>387</v>
      </c>
      <c r="C87" s="62" t="s">
        <v>11652</v>
      </c>
      <c r="D87" s="63">
        <v>3</v>
      </c>
      <c r="E87" s="64" t="s">
        <v>132</v>
      </c>
      <c r="F87" s="65">
        <v>32</v>
      </c>
      <c r="G87" s="62"/>
      <c r="H87" s="66"/>
      <c r="I87" s="67"/>
      <c r="J87" s="67"/>
      <c r="K87" s="31" t="s">
        <v>65</v>
      </c>
      <c r="L87" s="75">
        <v>87</v>
      </c>
      <c r="M87" s="75"/>
      <c r="N87" s="69"/>
      <c r="O87" s="77" t="s">
        <v>438</v>
      </c>
      <c r="P87" s="79">
        <v>45211.72277777778</v>
      </c>
      <c r="Q87" s="77" t="s">
        <v>502</v>
      </c>
      <c r="R87" s="77">
        <v>0</v>
      </c>
      <c r="S87" s="77">
        <v>0</v>
      </c>
      <c r="T87" s="77">
        <v>0</v>
      </c>
      <c r="U87" s="77">
        <v>0</v>
      </c>
      <c r="V87" s="77">
        <v>13</v>
      </c>
      <c r="W87" s="77"/>
      <c r="X87" s="77"/>
      <c r="Y87" s="77"/>
      <c r="Z87" s="77" t="s">
        <v>387</v>
      </c>
      <c r="AA87" s="77"/>
      <c r="AB87" s="77"/>
      <c r="AC87" s="81" t="s">
        <v>674</v>
      </c>
      <c r="AD87" s="77" t="s">
        <v>686</v>
      </c>
      <c r="AE87" s="83" t="str">
        <f>HYPERLINK("https://twitter.com/xsandman00/status/1712518692662292874")</f>
        <v>https://twitter.com/xsandman00/status/1712518692662292874</v>
      </c>
      <c r="AF87" s="79">
        <v>45211.72277777778</v>
      </c>
      <c r="AG87" s="85">
        <v>45211</v>
      </c>
      <c r="AH87" s="81" t="s">
        <v>747</v>
      </c>
      <c r="AI87" s="77"/>
      <c r="AJ87" s="77" t="s">
        <v>828</v>
      </c>
      <c r="AK87" s="77" t="s">
        <v>849</v>
      </c>
      <c r="AL87" s="77" t="s">
        <v>850</v>
      </c>
      <c r="AM87" s="77" t="s">
        <v>852</v>
      </c>
      <c r="AN87" s="77" t="s">
        <v>874</v>
      </c>
      <c r="AO87" s="77" t="s">
        <v>896</v>
      </c>
      <c r="AP87" s="77" t="s">
        <v>917</v>
      </c>
      <c r="AQ87" s="77"/>
      <c r="AR87" s="77"/>
      <c r="AS87" s="77"/>
      <c r="AT87" s="77"/>
      <c r="AU87" s="77"/>
      <c r="AV87" s="83" t="str">
        <f>HYPERLINK("https://abs.twimg.com/sticky/default_profile_images/default_profile_normal.png")</f>
        <v>https://abs.twimg.com/sticky/default_profile_images/default_profile_normal.png</v>
      </c>
      <c r="AW87" s="81" t="s">
        <v>1000</v>
      </c>
      <c r="AX87" s="81" t="s">
        <v>1112</v>
      </c>
      <c r="AY87" s="81" t="s">
        <v>1176</v>
      </c>
      <c r="AZ87" s="81" t="s">
        <v>1112</v>
      </c>
      <c r="BA87" s="81" t="s">
        <v>1210</v>
      </c>
      <c r="BB87" s="81" t="s">
        <v>1210</v>
      </c>
      <c r="BC87" s="81" t="s">
        <v>1112</v>
      </c>
      <c r="BD87" s="81" t="s">
        <v>1262</v>
      </c>
      <c r="BE87" s="77"/>
      <c r="BF87" s="77"/>
      <c r="BG87" s="77"/>
      <c r="BH87" s="77"/>
      <c r="BI87" s="77"/>
      <c r="BJ87">
        <v>1</v>
      </c>
      <c r="BK87" s="76" t="str">
        <f>REPLACE(INDEX(GroupVertices[Group],MATCH("~"&amp;Edges[[#This Row],[Vertex 1]],GroupVertices[Vertex],0)),1,1,"")</f>
        <v>47</v>
      </c>
      <c r="BL87" s="76" t="str">
        <f>REPLACE(INDEX(GroupVertices[Group],MATCH("~"&amp;Edges[[#This Row],[Vertex 2]],GroupVertices[Vertex],0)),1,1,"")</f>
        <v>47</v>
      </c>
      <c r="BM87" s="45">
        <v>0</v>
      </c>
      <c r="BN87" s="46">
        <v>0</v>
      </c>
      <c r="BO87" s="45">
        <v>4</v>
      </c>
      <c r="BP87" s="46">
        <v>9.30232558139535</v>
      </c>
      <c r="BQ87" s="45">
        <v>0</v>
      </c>
      <c r="BR87" s="46">
        <v>0</v>
      </c>
      <c r="BS87" s="45">
        <v>21</v>
      </c>
      <c r="BT87" s="46">
        <v>48.83720930232558</v>
      </c>
      <c r="BU87" s="45">
        <v>43</v>
      </c>
    </row>
    <row r="88" spans="1:73" ht="15">
      <c r="A88" s="61" t="s">
        <v>280</v>
      </c>
      <c r="B88" s="61" t="s">
        <v>280</v>
      </c>
      <c r="C88" s="62" t="s">
        <v>11652</v>
      </c>
      <c r="D88" s="63">
        <v>3</v>
      </c>
      <c r="E88" s="64" t="s">
        <v>132</v>
      </c>
      <c r="F88" s="65">
        <v>32</v>
      </c>
      <c r="G88" s="62"/>
      <c r="H88" s="66"/>
      <c r="I88" s="67"/>
      <c r="J88" s="67"/>
      <c r="K88" s="31" t="s">
        <v>65</v>
      </c>
      <c r="L88" s="75">
        <v>88</v>
      </c>
      <c r="M88" s="75"/>
      <c r="N88" s="69"/>
      <c r="O88" s="77" t="s">
        <v>178</v>
      </c>
      <c r="P88" s="79">
        <v>45317.14701388889</v>
      </c>
      <c r="Q88" s="77" t="s">
        <v>503</v>
      </c>
      <c r="R88" s="77">
        <v>12401</v>
      </c>
      <c r="S88" s="77">
        <v>87379</v>
      </c>
      <c r="T88" s="77">
        <v>213</v>
      </c>
      <c r="U88" s="77">
        <v>251</v>
      </c>
      <c r="V88" s="77">
        <v>2858236</v>
      </c>
      <c r="W88" s="77"/>
      <c r="X88" s="77"/>
      <c r="Y88" s="77"/>
      <c r="Z88" s="77"/>
      <c r="AA88" s="77"/>
      <c r="AB88" s="77"/>
      <c r="AC88" s="81" t="s">
        <v>674</v>
      </c>
      <c r="AD88" s="77" t="s">
        <v>686</v>
      </c>
      <c r="AE88" s="83" t="str">
        <f>HYPERLINK("https://twitter.com/em1liath/status/1750723160238870792")</f>
        <v>https://twitter.com/em1liath/status/1750723160238870792</v>
      </c>
      <c r="AF88" s="79">
        <v>45317.14701388889</v>
      </c>
      <c r="AG88" s="85">
        <v>45317</v>
      </c>
      <c r="AH88" s="81" t="s">
        <v>743</v>
      </c>
      <c r="AI88" s="77"/>
      <c r="AJ88" s="77"/>
      <c r="AK88" s="77"/>
      <c r="AL88" s="77"/>
      <c r="AM88" s="77"/>
      <c r="AN88" s="77"/>
      <c r="AO88" s="77"/>
      <c r="AP88" s="77"/>
      <c r="AQ88" s="77"/>
      <c r="AR88" s="77"/>
      <c r="AS88" s="77"/>
      <c r="AT88" s="77"/>
      <c r="AU88" s="77"/>
      <c r="AV88" s="83" t="str">
        <f>HYPERLINK("https://pbs.twimg.com/profile_images/1727128514409668608/YWC9OKuQ_normal.jpg")</f>
        <v>https://pbs.twimg.com/profile_images/1727128514409668608/YWC9OKuQ_normal.jpg</v>
      </c>
      <c r="AW88" s="81" t="s">
        <v>1001</v>
      </c>
      <c r="AX88" s="81" t="s">
        <v>1001</v>
      </c>
      <c r="AY88" s="77"/>
      <c r="AZ88" s="81" t="s">
        <v>1210</v>
      </c>
      <c r="BA88" s="81" t="s">
        <v>1210</v>
      </c>
      <c r="BB88" s="81" t="s">
        <v>1210</v>
      </c>
      <c r="BC88" s="81" t="s">
        <v>1001</v>
      </c>
      <c r="BD88" s="81" t="s">
        <v>1263</v>
      </c>
      <c r="BE88" s="77"/>
      <c r="BF88" s="77"/>
      <c r="BG88" s="77"/>
      <c r="BH88" s="77"/>
      <c r="BI88" s="77"/>
      <c r="BJ88">
        <v>1</v>
      </c>
      <c r="BK88" s="76" t="str">
        <f>REPLACE(INDEX(GroupVertices[Group],MATCH("~"&amp;Edges[[#This Row],[Vertex 1]],GroupVertices[Vertex],0)),1,1,"")</f>
        <v>61</v>
      </c>
      <c r="BL88" s="76" t="str">
        <f>REPLACE(INDEX(GroupVertices[Group],MATCH("~"&amp;Edges[[#This Row],[Vertex 2]],GroupVertices[Vertex],0)),1,1,"")</f>
        <v>61</v>
      </c>
      <c r="BM88" s="45">
        <v>1</v>
      </c>
      <c r="BN88" s="46">
        <v>2.5641025641025643</v>
      </c>
      <c r="BO88" s="45">
        <v>2</v>
      </c>
      <c r="BP88" s="46">
        <v>5.128205128205129</v>
      </c>
      <c r="BQ88" s="45">
        <v>0</v>
      </c>
      <c r="BR88" s="46">
        <v>0</v>
      </c>
      <c r="BS88" s="45">
        <v>14</v>
      </c>
      <c r="BT88" s="46">
        <v>35.8974358974359</v>
      </c>
      <c r="BU88" s="45">
        <v>39</v>
      </c>
    </row>
    <row r="89" spans="1:73" ht="15">
      <c r="A89" s="61" t="s">
        <v>281</v>
      </c>
      <c r="B89" s="61" t="s">
        <v>281</v>
      </c>
      <c r="C89" s="62" t="s">
        <v>1410</v>
      </c>
      <c r="D89" s="63">
        <v>10</v>
      </c>
      <c r="E89" s="64" t="s">
        <v>132</v>
      </c>
      <c r="F89" s="65">
        <v>10</v>
      </c>
      <c r="G89" s="62"/>
      <c r="H89" s="66"/>
      <c r="I89" s="67"/>
      <c r="J89" s="67"/>
      <c r="K89" s="31" t="s">
        <v>65</v>
      </c>
      <c r="L89" s="75">
        <v>89</v>
      </c>
      <c r="M89" s="75"/>
      <c r="N89" s="69"/>
      <c r="O89" s="77" t="s">
        <v>178</v>
      </c>
      <c r="P89" s="79">
        <v>45152.23305555555</v>
      </c>
      <c r="Q89" s="77" t="s">
        <v>504</v>
      </c>
      <c r="R89" s="77">
        <v>0</v>
      </c>
      <c r="S89" s="77">
        <v>0</v>
      </c>
      <c r="T89" s="77">
        <v>0</v>
      </c>
      <c r="U89" s="77">
        <v>0</v>
      </c>
      <c r="V89" s="77">
        <v>64</v>
      </c>
      <c r="W89" s="77"/>
      <c r="X89" s="83" t="str">
        <f>HYPERLINK("https://wapo.st/45mSV1C")</f>
        <v>https://wapo.st/45mSV1C</v>
      </c>
      <c r="Y89" s="77" t="s">
        <v>609</v>
      </c>
      <c r="Z89" s="77"/>
      <c r="AA89" s="77"/>
      <c r="AB89" s="77"/>
      <c r="AC89" s="81" t="s">
        <v>677</v>
      </c>
      <c r="AD89" s="77" t="s">
        <v>686</v>
      </c>
      <c r="AE89" s="83" t="str">
        <f>HYPERLINK("https://twitter.com/herlihy_f/status/1690960342959132672")</f>
        <v>https://twitter.com/herlihy_f/status/1690960342959132672</v>
      </c>
      <c r="AF89" s="79">
        <v>45152.23305555555</v>
      </c>
      <c r="AG89" s="85">
        <v>45152</v>
      </c>
      <c r="AH89" s="81" t="s">
        <v>748</v>
      </c>
      <c r="AI89" s="77" t="b">
        <v>0</v>
      </c>
      <c r="AJ89" s="77" t="s">
        <v>828</v>
      </c>
      <c r="AK89" s="77" t="s">
        <v>849</v>
      </c>
      <c r="AL89" s="77" t="s">
        <v>850</v>
      </c>
      <c r="AM89" s="77" t="s">
        <v>852</v>
      </c>
      <c r="AN89" s="77" t="s">
        <v>874</v>
      </c>
      <c r="AO89" s="77" t="s">
        <v>896</v>
      </c>
      <c r="AP89" s="77" t="s">
        <v>917</v>
      </c>
      <c r="AQ89" s="77"/>
      <c r="AR89" s="77"/>
      <c r="AS89" s="77"/>
      <c r="AT89" s="77"/>
      <c r="AU89" s="77"/>
      <c r="AV89" s="83" t="str">
        <f>HYPERLINK("https://pbs.twimg.com/profile_images/1534476395639762944/oAWLsEnn_normal.jpg")</f>
        <v>https://pbs.twimg.com/profile_images/1534476395639762944/oAWLsEnn_normal.jpg</v>
      </c>
      <c r="AW89" s="81" t="s">
        <v>1002</v>
      </c>
      <c r="AX89" s="81" t="s">
        <v>1002</v>
      </c>
      <c r="AY89" s="77"/>
      <c r="AZ89" s="81" t="s">
        <v>1210</v>
      </c>
      <c r="BA89" s="81" t="s">
        <v>1210</v>
      </c>
      <c r="BB89" s="81" t="s">
        <v>1210</v>
      </c>
      <c r="BC89" s="81" t="s">
        <v>1002</v>
      </c>
      <c r="BD89" s="81" t="s">
        <v>1264</v>
      </c>
      <c r="BE89" s="77"/>
      <c r="BF89" s="77"/>
      <c r="BG89" s="77"/>
      <c r="BH89" s="77"/>
      <c r="BI89" s="77"/>
      <c r="BJ89">
        <v>3</v>
      </c>
      <c r="BK89" s="76" t="str">
        <f>REPLACE(INDEX(GroupVertices[Group],MATCH("~"&amp;Edges[[#This Row],[Vertex 1]],GroupVertices[Vertex],0)),1,1,"")</f>
        <v>1</v>
      </c>
      <c r="BL89" s="76" t="str">
        <f>REPLACE(INDEX(GroupVertices[Group],MATCH("~"&amp;Edges[[#This Row],[Vertex 2]],GroupVertices[Vertex],0)),1,1,"")</f>
        <v>1</v>
      </c>
      <c r="BM89" s="45">
        <v>0</v>
      </c>
      <c r="BN89" s="46">
        <v>0</v>
      </c>
      <c r="BO89" s="45">
        <v>2</v>
      </c>
      <c r="BP89" s="46">
        <v>13.333333333333334</v>
      </c>
      <c r="BQ89" s="45">
        <v>0</v>
      </c>
      <c r="BR89" s="46">
        <v>0</v>
      </c>
      <c r="BS89" s="45">
        <v>9</v>
      </c>
      <c r="BT89" s="46">
        <v>60</v>
      </c>
      <c r="BU89" s="45">
        <v>15</v>
      </c>
    </row>
    <row r="90" spans="1:73" ht="15">
      <c r="A90" s="61" t="s">
        <v>281</v>
      </c>
      <c r="B90" s="61" t="s">
        <v>281</v>
      </c>
      <c r="C90" s="62" t="s">
        <v>1410</v>
      </c>
      <c r="D90" s="63">
        <v>10</v>
      </c>
      <c r="E90" s="64" t="s">
        <v>132</v>
      </c>
      <c r="F90" s="65">
        <v>10</v>
      </c>
      <c r="G90" s="62"/>
      <c r="H90" s="66"/>
      <c r="I90" s="67"/>
      <c r="J90" s="67"/>
      <c r="K90" s="31" t="s">
        <v>65</v>
      </c>
      <c r="L90" s="75">
        <v>90</v>
      </c>
      <c r="M90" s="75"/>
      <c r="N90" s="69"/>
      <c r="O90" s="77" t="s">
        <v>178</v>
      </c>
      <c r="P90" s="79">
        <v>45236.614270833335</v>
      </c>
      <c r="Q90" s="77" t="s">
        <v>505</v>
      </c>
      <c r="R90" s="77">
        <v>0</v>
      </c>
      <c r="S90" s="77">
        <v>0</v>
      </c>
      <c r="T90" s="77">
        <v>0</v>
      </c>
      <c r="U90" s="77">
        <v>0</v>
      </c>
      <c r="V90" s="77">
        <v>42</v>
      </c>
      <c r="W90" s="77"/>
      <c r="X90" s="83" t="str">
        <f>HYPERLINK("https://www.washingtonpost.com/world/2023/11/06/israel-hamas-war-gaza-news-palestine/")</f>
        <v>https://www.washingtonpost.com/world/2023/11/06/israel-hamas-war-gaza-news-palestine/</v>
      </c>
      <c r="Y90" s="77" t="s">
        <v>610</v>
      </c>
      <c r="Z90" s="77"/>
      <c r="AA90" s="77"/>
      <c r="AB90" s="77"/>
      <c r="AC90" s="81" t="s">
        <v>677</v>
      </c>
      <c r="AD90" s="77" t="s">
        <v>686</v>
      </c>
      <c r="AE90" s="83" t="str">
        <f>HYPERLINK("https://twitter.com/herlihy_f/status/1721539068994220319")</f>
        <v>https://twitter.com/herlihy_f/status/1721539068994220319</v>
      </c>
      <c r="AF90" s="79">
        <v>45236.614270833335</v>
      </c>
      <c r="AG90" s="85">
        <v>45236</v>
      </c>
      <c r="AH90" s="81" t="s">
        <v>749</v>
      </c>
      <c r="AI90" s="77" t="b">
        <v>0</v>
      </c>
      <c r="AJ90" s="77" t="s">
        <v>828</v>
      </c>
      <c r="AK90" s="77" t="s">
        <v>849</v>
      </c>
      <c r="AL90" s="77" t="s">
        <v>850</v>
      </c>
      <c r="AM90" s="77" t="s">
        <v>852</v>
      </c>
      <c r="AN90" s="77" t="s">
        <v>874</v>
      </c>
      <c r="AO90" s="77" t="s">
        <v>896</v>
      </c>
      <c r="AP90" s="77" t="s">
        <v>917</v>
      </c>
      <c r="AQ90" s="77"/>
      <c r="AR90" s="77"/>
      <c r="AS90" s="77"/>
      <c r="AT90" s="77"/>
      <c r="AU90" s="77"/>
      <c r="AV90" s="83" t="str">
        <f>HYPERLINK("https://pbs.twimg.com/profile_images/1534476395639762944/oAWLsEnn_normal.jpg")</f>
        <v>https://pbs.twimg.com/profile_images/1534476395639762944/oAWLsEnn_normal.jpg</v>
      </c>
      <c r="AW90" s="81" t="s">
        <v>1003</v>
      </c>
      <c r="AX90" s="81" t="s">
        <v>1003</v>
      </c>
      <c r="AY90" s="77"/>
      <c r="AZ90" s="81" t="s">
        <v>1210</v>
      </c>
      <c r="BA90" s="81" t="s">
        <v>1210</v>
      </c>
      <c r="BB90" s="81" t="s">
        <v>1210</v>
      </c>
      <c r="BC90" s="81" t="s">
        <v>1003</v>
      </c>
      <c r="BD90" s="81" t="s">
        <v>1264</v>
      </c>
      <c r="BE90" s="77"/>
      <c r="BF90" s="77"/>
      <c r="BG90" s="77"/>
      <c r="BH90" s="77"/>
      <c r="BI90" s="77"/>
      <c r="BJ90">
        <v>3</v>
      </c>
      <c r="BK90" s="76" t="str">
        <f>REPLACE(INDEX(GroupVertices[Group],MATCH("~"&amp;Edges[[#This Row],[Vertex 1]],GroupVertices[Vertex],0)),1,1,"")</f>
        <v>1</v>
      </c>
      <c r="BL90" s="76" t="str">
        <f>REPLACE(INDEX(GroupVertices[Group],MATCH("~"&amp;Edges[[#This Row],[Vertex 2]],GroupVertices[Vertex],0)),1,1,"")</f>
        <v>1</v>
      </c>
      <c r="BM90" s="45">
        <v>0</v>
      </c>
      <c r="BN90" s="46">
        <v>0</v>
      </c>
      <c r="BO90" s="45">
        <v>2</v>
      </c>
      <c r="BP90" s="46">
        <v>10</v>
      </c>
      <c r="BQ90" s="45">
        <v>0</v>
      </c>
      <c r="BR90" s="46">
        <v>0</v>
      </c>
      <c r="BS90" s="45">
        <v>16</v>
      </c>
      <c r="BT90" s="46">
        <v>80</v>
      </c>
      <c r="BU90" s="45">
        <v>20</v>
      </c>
    </row>
    <row r="91" spans="1:73" ht="15">
      <c r="A91" s="61" t="s">
        <v>281</v>
      </c>
      <c r="B91" s="61" t="s">
        <v>281</v>
      </c>
      <c r="C91" s="62" t="s">
        <v>1410</v>
      </c>
      <c r="D91" s="63">
        <v>10</v>
      </c>
      <c r="E91" s="64" t="s">
        <v>132</v>
      </c>
      <c r="F91" s="65">
        <v>10</v>
      </c>
      <c r="G91" s="62"/>
      <c r="H91" s="66"/>
      <c r="I91" s="67"/>
      <c r="J91" s="67"/>
      <c r="K91" s="31" t="s">
        <v>65</v>
      </c>
      <c r="L91" s="75">
        <v>91</v>
      </c>
      <c r="M91" s="75"/>
      <c r="N91" s="69"/>
      <c r="O91" s="77" t="s">
        <v>178</v>
      </c>
      <c r="P91" s="79">
        <v>45236.614120370374</v>
      </c>
      <c r="Q91" s="77" t="s">
        <v>505</v>
      </c>
      <c r="R91" s="77">
        <v>0</v>
      </c>
      <c r="S91" s="77">
        <v>1</v>
      </c>
      <c r="T91" s="77">
        <v>0</v>
      </c>
      <c r="U91" s="77">
        <v>0</v>
      </c>
      <c r="V91" s="77">
        <v>34</v>
      </c>
      <c r="W91" s="77"/>
      <c r="X91" s="83" t="str">
        <f>HYPERLINK("https://www.washingtonpost.com/world/2023/11/06/israel-hamas-war-gaza-news-palestine/")</f>
        <v>https://www.washingtonpost.com/world/2023/11/06/israel-hamas-war-gaza-news-palestine/</v>
      </c>
      <c r="Y91" s="77" t="s">
        <v>610</v>
      </c>
      <c r="Z91" s="77"/>
      <c r="AA91" s="77"/>
      <c r="AB91" s="77"/>
      <c r="AC91" s="81" t="s">
        <v>677</v>
      </c>
      <c r="AD91" s="77" t="s">
        <v>686</v>
      </c>
      <c r="AE91" s="83" t="str">
        <f>HYPERLINK("https://twitter.com/herlihy_f/status/1721539015890092379")</f>
        <v>https://twitter.com/herlihy_f/status/1721539015890092379</v>
      </c>
      <c r="AF91" s="79">
        <v>45236.614120370374</v>
      </c>
      <c r="AG91" s="85">
        <v>45236</v>
      </c>
      <c r="AH91" s="81" t="s">
        <v>750</v>
      </c>
      <c r="AI91" s="77" t="b">
        <v>0</v>
      </c>
      <c r="AJ91" s="77" t="s">
        <v>828</v>
      </c>
      <c r="AK91" s="77" t="s">
        <v>849</v>
      </c>
      <c r="AL91" s="77" t="s">
        <v>850</v>
      </c>
      <c r="AM91" s="77" t="s">
        <v>852</v>
      </c>
      <c r="AN91" s="77" t="s">
        <v>874</v>
      </c>
      <c r="AO91" s="77" t="s">
        <v>896</v>
      </c>
      <c r="AP91" s="77" t="s">
        <v>917</v>
      </c>
      <c r="AQ91" s="77"/>
      <c r="AR91" s="77"/>
      <c r="AS91" s="77"/>
      <c r="AT91" s="77"/>
      <c r="AU91" s="77"/>
      <c r="AV91" s="83" t="str">
        <f>HYPERLINK("https://pbs.twimg.com/profile_images/1534476395639762944/oAWLsEnn_normal.jpg")</f>
        <v>https://pbs.twimg.com/profile_images/1534476395639762944/oAWLsEnn_normal.jpg</v>
      </c>
      <c r="AW91" s="81" t="s">
        <v>1004</v>
      </c>
      <c r="AX91" s="81" t="s">
        <v>1004</v>
      </c>
      <c r="AY91" s="77"/>
      <c r="AZ91" s="81" t="s">
        <v>1210</v>
      </c>
      <c r="BA91" s="81" t="s">
        <v>1210</v>
      </c>
      <c r="BB91" s="81" t="s">
        <v>1210</v>
      </c>
      <c r="BC91" s="81" t="s">
        <v>1004</v>
      </c>
      <c r="BD91" s="81" t="s">
        <v>1264</v>
      </c>
      <c r="BE91" s="77"/>
      <c r="BF91" s="77"/>
      <c r="BG91" s="77"/>
      <c r="BH91" s="77"/>
      <c r="BI91" s="77"/>
      <c r="BJ91">
        <v>3</v>
      </c>
      <c r="BK91" s="76" t="str">
        <f>REPLACE(INDEX(GroupVertices[Group],MATCH("~"&amp;Edges[[#This Row],[Vertex 1]],GroupVertices[Vertex],0)),1,1,"")</f>
        <v>1</v>
      </c>
      <c r="BL91" s="76" t="str">
        <f>REPLACE(INDEX(GroupVertices[Group],MATCH("~"&amp;Edges[[#This Row],[Vertex 2]],GroupVertices[Vertex],0)),1,1,"")</f>
        <v>1</v>
      </c>
      <c r="BM91" s="45">
        <v>0</v>
      </c>
      <c r="BN91" s="46">
        <v>0</v>
      </c>
      <c r="BO91" s="45">
        <v>2</v>
      </c>
      <c r="BP91" s="46">
        <v>10</v>
      </c>
      <c r="BQ91" s="45">
        <v>0</v>
      </c>
      <c r="BR91" s="46">
        <v>0</v>
      </c>
      <c r="BS91" s="45">
        <v>16</v>
      </c>
      <c r="BT91" s="46">
        <v>80</v>
      </c>
      <c r="BU91" s="45">
        <v>20</v>
      </c>
    </row>
    <row r="92" spans="1:73" ht="15">
      <c r="A92" s="61" t="s">
        <v>282</v>
      </c>
      <c r="B92" s="61" t="s">
        <v>388</v>
      </c>
      <c r="C92" s="62" t="s">
        <v>11652</v>
      </c>
      <c r="D92" s="63">
        <v>3</v>
      </c>
      <c r="E92" s="64" t="s">
        <v>132</v>
      </c>
      <c r="F92" s="65">
        <v>32</v>
      </c>
      <c r="G92" s="62"/>
      <c r="H92" s="66"/>
      <c r="I92" s="67"/>
      <c r="J92" s="67"/>
      <c r="K92" s="31" t="s">
        <v>65</v>
      </c>
      <c r="L92" s="75">
        <v>92</v>
      </c>
      <c r="M92" s="75"/>
      <c r="N92" s="69"/>
      <c r="O92" s="77" t="s">
        <v>438</v>
      </c>
      <c r="P92" s="79">
        <v>45319.89733796296</v>
      </c>
      <c r="Q92" s="77" t="s">
        <v>506</v>
      </c>
      <c r="R92" s="77">
        <v>0</v>
      </c>
      <c r="S92" s="77">
        <v>3</v>
      </c>
      <c r="T92" s="77">
        <v>1</v>
      </c>
      <c r="U92" s="77">
        <v>0</v>
      </c>
      <c r="V92" s="77">
        <v>135</v>
      </c>
      <c r="W92" s="77"/>
      <c r="X92" s="77"/>
      <c r="Y92" s="77"/>
      <c r="Z92" s="77" t="s">
        <v>388</v>
      </c>
      <c r="AA92" s="77"/>
      <c r="AB92" s="77"/>
      <c r="AC92" s="81" t="s">
        <v>675</v>
      </c>
      <c r="AD92" s="77" t="s">
        <v>686</v>
      </c>
      <c r="AE92" s="83" t="str">
        <f>HYPERLINK("https://twitter.com/pardonmypain/status/1751719842351313121")</f>
        <v>https://twitter.com/pardonmypain/status/1751719842351313121</v>
      </c>
      <c r="AF92" s="79">
        <v>45319.89733796296</v>
      </c>
      <c r="AG92" s="85">
        <v>45319</v>
      </c>
      <c r="AH92" s="81" t="s">
        <v>751</v>
      </c>
      <c r="AI92" s="77"/>
      <c r="AJ92" s="77"/>
      <c r="AK92" s="77"/>
      <c r="AL92" s="77"/>
      <c r="AM92" s="77"/>
      <c r="AN92" s="77"/>
      <c r="AO92" s="77"/>
      <c r="AP92" s="77"/>
      <c r="AQ92" s="77"/>
      <c r="AR92" s="77"/>
      <c r="AS92" s="77"/>
      <c r="AT92" s="77"/>
      <c r="AU92" s="77"/>
      <c r="AV92" s="83" t="str">
        <f>HYPERLINK("https://pbs.twimg.com/profile_images/700915659/bebeskwid_normal.jpg")</f>
        <v>https://pbs.twimg.com/profile_images/700915659/bebeskwid_normal.jpg</v>
      </c>
      <c r="AW92" s="81" t="s">
        <v>1005</v>
      </c>
      <c r="AX92" s="81" t="s">
        <v>1113</v>
      </c>
      <c r="AY92" s="81" t="s">
        <v>1177</v>
      </c>
      <c r="AZ92" s="81" t="s">
        <v>1113</v>
      </c>
      <c r="BA92" s="81" t="s">
        <v>1210</v>
      </c>
      <c r="BB92" s="81" t="s">
        <v>1210</v>
      </c>
      <c r="BC92" s="81" t="s">
        <v>1113</v>
      </c>
      <c r="BD92" s="77">
        <v>113704528</v>
      </c>
      <c r="BE92" s="77"/>
      <c r="BF92" s="77"/>
      <c r="BG92" s="77"/>
      <c r="BH92" s="77"/>
      <c r="BI92" s="77"/>
      <c r="BJ92">
        <v>1</v>
      </c>
      <c r="BK92" s="76" t="str">
        <f>REPLACE(INDEX(GroupVertices[Group],MATCH("~"&amp;Edges[[#This Row],[Vertex 1]],GroupVertices[Vertex],0)),1,1,"")</f>
        <v>46</v>
      </c>
      <c r="BL92" s="76" t="str">
        <f>REPLACE(INDEX(GroupVertices[Group],MATCH("~"&amp;Edges[[#This Row],[Vertex 2]],GroupVertices[Vertex],0)),1,1,"")</f>
        <v>46</v>
      </c>
      <c r="BM92" s="45">
        <v>0</v>
      </c>
      <c r="BN92" s="46">
        <v>0</v>
      </c>
      <c r="BO92" s="45">
        <v>1</v>
      </c>
      <c r="BP92" s="46">
        <v>2.5</v>
      </c>
      <c r="BQ92" s="45">
        <v>0</v>
      </c>
      <c r="BR92" s="46">
        <v>0</v>
      </c>
      <c r="BS92" s="45">
        <v>19</v>
      </c>
      <c r="BT92" s="46">
        <v>47.5</v>
      </c>
      <c r="BU92" s="45">
        <v>40</v>
      </c>
    </row>
    <row r="93" spans="1:73" ht="15">
      <c r="A93" s="61" t="s">
        <v>283</v>
      </c>
      <c r="B93" s="61" t="s">
        <v>389</v>
      </c>
      <c r="C93" s="62" t="s">
        <v>11652</v>
      </c>
      <c r="D93" s="63">
        <v>3</v>
      </c>
      <c r="E93" s="64" t="s">
        <v>132</v>
      </c>
      <c r="F93" s="65">
        <v>32</v>
      </c>
      <c r="G93" s="62"/>
      <c r="H93" s="66"/>
      <c r="I93" s="67"/>
      <c r="J93" s="67"/>
      <c r="K93" s="31" t="s">
        <v>65</v>
      </c>
      <c r="L93" s="75">
        <v>93</v>
      </c>
      <c r="M93" s="75"/>
      <c r="N93" s="69"/>
      <c r="O93" s="77" t="s">
        <v>437</v>
      </c>
      <c r="P93" s="79">
        <v>45319.9171875</v>
      </c>
      <c r="Q93" s="77" t="s">
        <v>507</v>
      </c>
      <c r="R93" s="77">
        <v>0</v>
      </c>
      <c r="S93" s="77">
        <v>0</v>
      </c>
      <c r="T93" s="77">
        <v>0</v>
      </c>
      <c r="U93" s="77">
        <v>0</v>
      </c>
      <c r="V93" s="77">
        <v>13</v>
      </c>
      <c r="W93" s="77"/>
      <c r="X93" s="77"/>
      <c r="Y93" s="77"/>
      <c r="Z93" s="77" t="s">
        <v>634</v>
      </c>
      <c r="AA93" s="77"/>
      <c r="AB93" s="77"/>
      <c r="AC93" s="81" t="s">
        <v>674</v>
      </c>
      <c r="AD93" s="77" t="s">
        <v>686</v>
      </c>
      <c r="AE93" s="83" t="str">
        <f>HYPERLINK("https://twitter.com/wingsatlast/status/1751727035846885617")</f>
        <v>https://twitter.com/wingsatlast/status/1751727035846885617</v>
      </c>
      <c r="AF93" s="79">
        <v>45319.9171875</v>
      </c>
      <c r="AG93" s="85">
        <v>45319</v>
      </c>
      <c r="AH93" s="81" t="s">
        <v>752</v>
      </c>
      <c r="AI93" s="77"/>
      <c r="AJ93" s="77"/>
      <c r="AK93" s="77"/>
      <c r="AL93" s="77"/>
      <c r="AM93" s="77"/>
      <c r="AN93" s="77"/>
      <c r="AO93" s="77"/>
      <c r="AP93" s="77"/>
      <c r="AQ93" s="77"/>
      <c r="AR93" s="77"/>
      <c r="AS93" s="77"/>
      <c r="AT93" s="77"/>
      <c r="AU93" s="77"/>
      <c r="AV93" s="83" t="str">
        <f>HYPERLINK("https://pbs.twimg.com/profile_images/1603214633028157440/Y8rvzt6Q_normal.jpg")</f>
        <v>https://pbs.twimg.com/profile_images/1603214633028157440/Y8rvzt6Q_normal.jpg</v>
      </c>
      <c r="AW93" s="81" t="s">
        <v>1006</v>
      </c>
      <c r="AX93" s="81" t="s">
        <v>1114</v>
      </c>
      <c r="AY93" s="81" t="s">
        <v>1178</v>
      </c>
      <c r="AZ93" s="81" t="s">
        <v>1114</v>
      </c>
      <c r="BA93" s="81" t="s">
        <v>1210</v>
      </c>
      <c r="BB93" s="81" t="s">
        <v>1210</v>
      </c>
      <c r="BC93" s="81" t="s">
        <v>1114</v>
      </c>
      <c r="BD93" s="81" t="s">
        <v>1265</v>
      </c>
      <c r="BE93" s="77"/>
      <c r="BF93" s="77"/>
      <c r="BG93" s="77"/>
      <c r="BH93" s="77"/>
      <c r="BI93" s="77"/>
      <c r="BJ93">
        <v>1</v>
      </c>
      <c r="BK93" s="76" t="str">
        <f>REPLACE(INDEX(GroupVertices[Group],MATCH("~"&amp;Edges[[#This Row],[Vertex 1]],GroupVertices[Vertex],0)),1,1,"")</f>
        <v>16</v>
      </c>
      <c r="BL93" s="76" t="str">
        <f>REPLACE(INDEX(GroupVertices[Group],MATCH("~"&amp;Edges[[#This Row],[Vertex 2]],GroupVertices[Vertex],0)),1,1,"")</f>
        <v>16</v>
      </c>
      <c r="BM93" s="45"/>
      <c r="BN93" s="46"/>
      <c r="BO93" s="45"/>
      <c r="BP93" s="46"/>
      <c r="BQ93" s="45"/>
      <c r="BR93" s="46"/>
      <c r="BS93" s="45"/>
      <c r="BT93" s="46"/>
      <c r="BU93" s="45"/>
    </row>
    <row r="94" spans="1:73" ht="15">
      <c r="A94" s="61" t="s">
        <v>283</v>
      </c>
      <c r="B94" s="61" t="s">
        <v>390</v>
      </c>
      <c r="C94" s="62" t="s">
        <v>11652</v>
      </c>
      <c r="D94" s="63">
        <v>3</v>
      </c>
      <c r="E94" s="64" t="s">
        <v>132</v>
      </c>
      <c r="F94" s="65">
        <v>32</v>
      </c>
      <c r="G94" s="62"/>
      <c r="H94" s="66"/>
      <c r="I94" s="67"/>
      <c r="J94" s="67"/>
      <c r="K94" s="31" t="s">
        <v>65</v>
      </c>
      <c r="L94" s="75">
        <v>94</v>
      </c>
      <c r="M94" s="75"/>
      <c r="N94" s="69"/>
      <c r="O94" s="77" t="s">
        <v>438</v>
      </c>
      <c r="P94" s="79">
        <v>45319.9171875</v>
      </c>
      <c r="Q94" s="77" t="s">
        <v>507</v>
      </c>
      <c r="R94" s="77">
        <v>0</v>
      </c>
      <c r="S94" s="77">
        <v>0</v>
      </c>
      <c r="T94" s="77">
        <v>0</v>
      </c>
      <c r="U94" s="77">
        <v>0</v>
      </c>
      <c r="V94" s="77">
        <v>13</v>
      </c>
      <c r="W94" s="77"/>
      <c r="X94" s="77"/>
      <c r="Y94" s="77"/>
      <c r="Z94" s="77" t="s">
        <v>634</v>
      </c>
      <c r="AA94" s="77"/>
      <c r="AB94" s="77"/>
      <c r="AC94" s="81" t="s">
        <v>674</v>
      </c>
      <c r="AD94" s="77" t="s">
        <v>686</v>
      </c>
      <c r="AE94" s="83" t="str">
        <f>HYPERLINK("https://twitter.com/wingsatlast/status/1751727035846885617")</f>
        <v>https://twitter.com/wingsatlast/status/1751727035846885617</v>
      </c>
      <c r="AF94" s="79">
        <v>45319.9171875</v>
      </c>
      <c r="AG94" s="85">
        <v>45319</v>
      </c>
      <c r="AH94" s="81" t="s">
        <v>752</v>
      </c>
      <c r="AI94" s="77"/>
      <c r="AJ94" s="77"/>
      <c r="AK94" s="77"/>
      <c r="AL94" s="77"/>
      <c r="AM94" s="77"/>
      <c r="AN94" s="77"/>
      <c r="AO94" s="77"/>
      <c r="AP94" s="77"/>
      <c r="AQ94" s="77"/>
      <c r="AR94" s="77"/>
      <c r="AS94" s="77"/>
      <c r="AT94" s="77"/>
      <c r="AU94" s="77"/>
      <c r="AV94" s="83" t="str">
        <f>HYPERLINK("https://pbs.twimg.com/profile_images/1603214633028157440/Y8rvzt6Q_normal.jpg")</f>
        <v>https://pbs.twimg.com/profile_images/1603214633028157440/Y8rvzt6Q_normal.jpg</v>
      </c>
      <c r="AW94" s="81" t="s">
        <v>1006</v>
      </c>
      <c r="AX94" s="81" t="s">
        <v>1114</v>
      </c>
      <c r="AY94" s="81" t="s">
        <v>1178</v>
      </c>
      <c r="AZ94" s="81" t="s">
        <v>1114</v>
      </c>
      <c r="BA94" s="81" t="s">
        <v>1210</v>
      </c>
      <c r="BB94" s="81" t="s">
        <v>1210</v>
      </c>
      <c r="BC94" s="81" t="s">
        <v>1114</v>
      </c>
      <c r="BD94" s="81" t="s">
        <v>1265</v>
      </c>
      <c r="BE94" s="77"/>
      <c r="BF94" s="77"/>
      <c r="BG94" s="77"/>
      <c r="BH94" s="77"/>
      <c r="BI94" s="77"/>
      <c r="BJ94">
        <v>1</v>
      </c>
      <c r="BK94" s="76" t="str">
        <f>REPLACE(INDEX(GroupVertices[Group],MATCH("~"&amp;Edges[[#This Row],[Vertex 1]],GroupVertices[Vertex],0)),1,1,"")</f>
        <v>16</v>
      </c>
      <c r="BL94" s="76" t="str">
        <f>REPLACE(INDEX(GroupVertices[Group],MATCH("~"&amp;Edges[[#This Row],[Vertex 2]],GroupVertices[Vertex],0)),1,1,"")</f>
        <v>16</v>
      </c>
      <c r="BM94" s="45">
        <v>3</v>
      </c>
      <c r="BN94" s="46">
        <v>6.382978723404255</v>
      </c>
      <c r="BO94" s="45">
        <v>4</v>
      </c>
      <c r="BP94" s="46">
        <v>8.51063829787234</v>
      </c>
      <c r="BQ94" s="45">
        <v>0</v>
      </c>
      <c r="BR94" s="46">
        <v>0</v>
      </c>
      <c r="BS94" s="45">
        <v>20</v>
      </c>
      <c r="BT94" s="46">
        <v>42.5531914893617</v>
      </c>
      <c r="BU94" s="45">
        <v>47</v>
      </c>
    </row>
    <row r="95" spans="1:73" ht="15">
      <c r="A95" s="61" t="s">
        <v>284</v>
      </c>
      <c r="B95" s="61" t="s">
        <v>284</v>
      </c>
      <c r="C95" s="62" t="s">
        <v>11652</v>
      </c>
      <c r="D95" s="63">
        <v>3</v>
      </c>
      <c r="E95" s="64" t="s">
        <v>132</v>
      </c>
      <c r="F95" s="65">
        <v>32</v>
      </c>
      <c r="G95" s="62"/>
      <c r="H95" s="66"/>
      <c r="I95" s="67"/>
      <c r="J95" s="67"/>
      <c r="K95" s="31" t="s">
        <v>65</v>
      </c>
      <c r="L95" s="75">
        <v>95</v>
      </c>
      <c r="M95" s="75"/>
      <c r="N95" s="69"/>
      <c r="O95" s="77" t="s">
        <v>178</v>
      </c>
      <c r="P95" s="79">
        <v>45312.696550925924</v>
      </c>
      <c r="Q95" s="77" t="s">
        <v>508</v>
      </c>
      <c r="R95" s="77">
        <v>1</v>
      </c>
      <c r="S95" s="77">
        <v>19</v>
      </c>
      <c r="T95" s="77">
        <v>15</v>
      </c>
      <c r="U95" s="77">
        <v>1</v>
      </c>
      <c r="V95" s="77">
        <v>7488</v>
      </c>
      <c r="W95" s="77"/>
      <c r="X95" s="83" t="str">
        <f>HYPERLINK("https://www.kgw.com/article/news/nation-world/israel-hamas-conflict/israel-hamas-war-palestinian-death-toll-in-gaza/507-b5580c00-947b-4cdf-bc5a-f1a42ba9377a?utm_campaign=snd-autopilot")</f>
        <v>https://www.kgw.com/article/news/nation-world/israel-hamas-conflict/israel-hamas-war-palestinian-death-toll-in-gaza/507-b5580c00-947b-4cdf-bc5a-f1a42ba9377a?utm_campaign=snd-autopilot</v>
      </c>
      <c r="Y95" s="77" t="s">
        <v>608</v>
      </c>
      <c r="Z95" s="77"/>
      <c r="AA95" s="77"/>
      <c r="AB95" s="77"/>
      <c r="AC95" s="81" t="s">
        <v>680</v>
      </c>
      <c r="AD95" s="77" t="s">
        <v>686</v>
      </c>
      <c r="AE95" s="83" t="str">
        <f>HYPERLINK("https://twitter.com/kgwnews/status/1749110365558857961")</f>
        <v>https://twitter.com/kgwnews/status/1749110365558857961</v>
      </c>
      <c r="AF95" s="79">
        <v>45312.696550925924</v>
      </c>
      <c r="AG95" s="85">
        <v>45312</v>
      </c>
      <c r="AH95" s="81" t="s">
        <v>753</v>
      </c>
      <c r="AI95" s="77" t="b">
        <v>0</v>
      </c>
      <c r="AJ95" s="77"/>
      <c r="AK95" s="77"/>
      <c r="AL95" s="77"/>
      <c r="AM95" s="77"/>
      <c r="AN95" s="77"/>
      <c r="AO95" s="77"/>
      <c r="AP95" s="77"/>
      <c r="AQ95" s="77"/>
      <c r="AR95" s="77"/>
      <c r="AS95" s="77"/>
      <c r="AT95" s="77"/>
      <c r="AU95" s="77"/>
      <c r="AV95" s="83" t="str">
        <f>HYPERLINK("https://pbs.twimg.com/profile_images/1234999131594055681/PBSrLVO2_normal.jpg")</f>
        <v>https://pbs.twimg.com/profile_images/1234999131594055681/PBSrLVO2_normal.jpg</v>
      </c>
      <c r="AW95" s="81" t="s">
        <v>1007</v>
      </c>
      <c r="AX95" s="81" t="s">
        <v>1007</v>
      </c>
      <c r="AY95" s="77"/>
      <c r="AZ95" s="81" t="s">
        <v>1210</v>
      </c>
      <c r="BA95" s="81" t="s">
        <v>1210</v>
      </c>
      <c r="BB95" s="81" t="s">
        <v>1210</v>
      </c>
      <c r="BC95" s="81" t="s">
        <v>1007</v>
      </c>
      <c r="BD95" s="77">
        <v>14185814</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0</v>
      </c>
      <c r="BN95" s="46">
        <v>0</v>
      </c>
      <c r="BO95" s="45">
        <v>2</v>
      </c>
      <c r="BP95" s="46">
        <v>14.285714285714286</v>
      </c>
      <c r="BQ95" s="45">
        <v>0</v>
      </c>
      <c r="BR95" s="46">
        <v>0</v>
      </c>
      <c r="BS95" s="45">
        <v>9</v>
      </c>
      <c r="BT95" s="46">
        <v>64.28571428571429</v>
      </c>
      <c r="BU95" s="45">
        <v>14</v>
      </c>
    </row>
    <row r="96" spans="1:73" ht="15">
      <c r="A96" s="61" t="s">
        <v>285</v>
      </c>
      <c r="B96" s="61" t="s">
        <v>391</v>
      </c>
      <c r="C96" s="62" t="s">
        <v>11652</v>
      </c>
      <c r="D96" s="63">
        <v>3</v>
      </c>
      <c r="E96" s="64" t="s">
        <v>132</v>
      </c>
      <c r="F96" s="65">
        <v>32</v>
      </c>
      <c r="G96" s="62"/>
      <c r="H96" s="66"/>
      <c r="I96" s="67"/>
      <c r="J96" s="67"/>
      <c r="K96" s="31" t="s">
        <v>65</v>
      </c>
      <c r="L96" s="75">
        <v>96</v>
      </c>
      <c r="M96" s="75"/>
      <c r="N96" s="69"/>
      <c r="O96" s="77" t="s">
        <v>438</v>
      </c>
      <c r="P96" s="79">
        <v>45124.26951388889</v>
      </c>
      <c r="Q96" s="77" t="s">
        <v>509</v>
      </c>
      <c r="R96" s="77">
        <v>1</v>
      </c>
      <c r="S96" s="77">
        <v>4</v>
      </c>
      <c r="T96" s="77">
        <v>0</v>
      </c>
      <c r="U96" s="77">
        <v>0</v>
      </c>
      <c r="V96" s="77">
        <v>63</v>
      </c>
      <c r="W96" s="77"/>
      <c r="X96" s="77"/>
      <c r="Y96" s="77"/>
      <c r="Z96" s="77" t="s">
        <v>391</v>
      </c>
      <c r="AA96" s="77"/>
      <c r="AB96" s="77"/>
      <c r="AC96" s="81" t="s">
        <v>674</v>
      </c>
      <c r="AD96" s="77" t="s">
        <v>686</v>
      </c>
      <c r="AE96" s="83" t="str">
        <f>HYPERLINK("https://twitter.com/shaving_s/status/1680826690954747904")</f>
        <v>https://twitter.com/shaving_s/status/1680826690954747904</v>
      </c>
      <c r="AF96" s="79">
        <v>45124.26951388889</v>
      </c>
      <c r="AG96" s="85">
        <v>45124</v>
      </c>
      <c r="AH96" s="81" t="s">
        <v>754</v>
      </c>
      <c r="AI96" s="77"/>
      <c r="AJ96" s="77" t="s">
        <v>837</v>
      </c>
      <c r="AK96" s="77" t="s">
        <v>849</v>
      </c>
      <c r="AL96" s="77" t="s">
        <v>850</v>
      </c>
      <c r="AM96" s="77" t="s">
        <v>861</v>
      </c>
      <c r="AN96" s="77" t="s">
        <v>883</v>
      </c>
      <c r="AO96" s="77" t="s">
        <v>905</v>
      </c>
      <c r="AP96" s="77" t="s">
        <v>917</v>
      </c>
      <c r="AQ96" s="77"/>
      <c r="AR96" s="77"/>
      <c r="AS96" s="77"/>
      <c r="AT96" s="77"/>
      <c r="AU96" s="77"/>
      <c r="AV96" s="83" t="str">
        <f>HYPERLINK("https://pbs.twimg.com/profile_images/1658298697653026816/DRu3rFlr_normal.jpg")</f>
        <v>https://pbs.twimg.com/profile_images/1658298697653026816/DRu3rFlr_normal.jpg</v>
      </c>
      <c r="AW96" s="81" t="s">
        <v>1008</v>
      </c>
      <c r="AX96" s="81" t="s">
        <v>1115</v>
      </c>
      <c r="AY96" s="81" t="s">
        <v>1179</v>
      </c>
      <c r="AZ96" s="81" t="s">
        <v>1115</v>
      </c>
      <c r="BA96" s="81" t="s">
        <v>1210</v>
      </c>
      <c r="BB96" s="81" t="s">
        <v>1210</v>
      </c>
      <c r="BC96" s="81" t="s">
        <v>1115</v>
      </c>
      <c r="BD96" s="81" t="s">
        <v>1266</v>
      </c>
      <c r="BE96" s="77"/>
      <c r="BF96" s="77"/>
      <c r="BG96" s="77"/>
      <c r="BH96" s="77"/>
      <c r="BI96" s="77"/>
      <c r="BJ96">
        <v>1</v>
      </c>
      <c r="BK96" s="76" t="str">
        <f>REPLACE(INDEX(GroupVertices[Group],MATCH("~"&amp;Edges[[#This Row],[Vertex 1]],GroupVertices[Vertex],0)),1,1,"")</f>
        <v>45</v>
      </c>
      <c r="BL96" s="76" t="str">
        <f>REPLACE(INDEX(GroupVertices[Group],MATCH("~"&amp;Edges[[#This Row],[Vertex 2]],GroupVertices[Vertex],0)),1,1,"")</f>
        <v>45</v>
      </c>
      <c r="BM96" s="45">
        <v>0</v>
      </c>
      <c r="BN96" s="46">
        <v>0</v>
      </c>
      <c r="BO96" s="45">
        <v>4</v>
      </c>
      <c r="BP96" s="46">
        <v>12.121212121212121</v>
      </c>
      <c r="BQ96" s="45">
        <v>0</v>
      </c>
      <c r="BR96" s="46">
        <v>0</v>
      </c>
      <c r="BS96" s="45">
        <v>14</v>
      </c>
      <c r="BT96" s="46">
        <v>42.42424242424242</v>
      </c>
      <c r="BU96" s="45">
        <v>33</v>
      </c>
    </row>
    <row r="97" spans="1:73" ht="15">
      <c r="A97" s="61" t="s">
        <v>286</v>
      </c>
      <c r="B97" s="61" t="s">
        <v>286</v>
      </c>
      <c r="C97" s="62" t="s">
        <v>11652</v>
      </c>
      <c r="D97" s="63">
        <v>3</v>
      </c>
      <c r="E97" s="64" t="s">
        <v>132</v>
      </c>
      <c r="F97" s="65">
        <v>32</v>
      </c>
      <c r="G97" s="62"/>
      <c r="H97" s="66"/>
      <c r="I97" s="67"/>
      <c r="J97" s="67"/>
      <c r="K97" s="31" t="s">
        <v>65</v>
      </c>
      <c r="L97" s="75">
        <v>97</v>
      </c>
      <c r="M97" s="75"/>
      <c r="N97" s="69"/>
      <c r="O97" s="77" t="s">
        <v>178</v>
      </c>
      <c r="P97" s="79">
        <v>45058.80556712963</v>
      </c>
      <c r="Q97" s="77" t="s">
        <v>510</v>
      </c>
      <c r="R97" s="77">
        <v>4</v>
      </c>
      <c r="S97" s="77">
        <v>18</v>
      </c>
      <c r="T97" s="77">
        <v>5</v>
      </c>
      <c r="U97" s="77">
        <v>1</v>
      </c>
      <c r="V97" s="77">
        <v>6490</v>
      </c>
      <c r="W97" s="77"/>
      <c r="X97" s="83" t="str">
        <f>HYPERLINK("https://buff.ly/3lkMiLz")</f>
        <v>https://buff.ly/3lkMiLz</v>
      </c>
      <c r="Y97" s="77" t="s">
        <v>611</v>
      </c>
      <c r="Z97" s="77"/>
      <c r="AA97" s="77"/>
      <c r="AB97" s="77"/>
      <c r="AC97" s="81" t="s">
        <v>676</v>
      </c>
      <c r="AD97" s="77" t="s">
        <v>686</v>
      </c>
      <c r="AE97" s="83" t="str">
        <f>HYPERLINK("https://twitter.com/chuckwoolery/status/1657103351157346316")</f>
        <v>https://twitter.com/chuckwoolery/status/1657103351157346316</v>
      </c>
      <c r="AF97" s="79">
        <v>45058.80556712963</v>
      </c>
      <c r="AG97" s="85">
        <v>45058</v>
      </c>
      <c r="AH97" s="81" t="s">
        <v>755</v>
      </c>
      <c r="AI97" s="77" t="b">
        <v>0</v>
      </c>
      <c r="AJ97" s="77"/>
      <c r="AK97" s="77"/>
      <c r="AL97" s="77"/>
      <c r="AM97" s="77"/>
      <c r="AN97" s="77"/>
      <c r="AO97" s="77"/>
      <c r="AP97" s="77"/>
      <c r="AQ97" s="77"/>
      <c r="AR97" s="77"/>
      <c r="AS97" s="77"/>
      <c r="AT97" s="77"/>
      <c r="AU97" s="77"/>
      <c r="AV97" s="83" t="str">
        <f>HYPERLINK("https://pbs.twimg.com/profile_images/1764172727/Chuck_Headshot_normal.jpg")</f>
        <v>https://pbs.twimg.com/profile_images/1764172727/Chuck_Headshot_normal.jpg</v>
      </c>
      <c r="AW97" s="81" t="s">
        <v>1009</v>
      </c>
      <c r="AX97" s="81" t="s">
        <v>1009</v>
      </c>
      <c r="AY97" s="77"/>
      <c r="AZ97" s="81" t="s">
        <v>1210</v>
      </c>
      <c r="BA97" s="81" t="s">
        <v>1210</v>
      </c>
      <c r="BB97" s="81" t="s">
        <v>1210</v>
      </c>
      <c r="BC97" s="81" t="s">
        <v>1009</v>
      </c>
      <c r="BD97" s="77">
        <v>462104542</v>
      </c>
      <c r="BE97" s="77"/>
      <c r="BF97" s="77"/>
      <c r="BG97" s="77"/>
      <c r="BH97" s="77"/>
      <c r="BI97" s="77"/>
      <c r="BJ97">
        <v>1</v>
      </c>
      <c r="BK97" s="76" t="str">
        <f>REPLACE(INDEX(GroupVertices[Group],MATCH("~"&amp;Edges[[#This Row],[Vertex 1]],GroupVertices[Vertex],0)),1,1,"")</f>
        <v>44</v>
      </c>
      <c r="BL97" s="76" t="str">
        <f>REPLACE(INDEX(GroupVertices[Group],MATCH("~"&amp;Edges[[#This Row],[Vertex 2]],GroupVertices[Vertex],0)),1,1,"")</f>
        <v>44</v>
      </c>
      <c r="BM97" s="45">
        <v>1</v>
      </c>
      <c r="BN97" s="46">
        <v>14.285714285714286</v>
      </c>
      <c r="BO97" s="45">
        <v>1</v>
      </c>
      <c r="BP97" s="46">
        <v>14.285714285714286</v>
      </c>
      <c r="BQ97" s="45">
        <v>0</v>
      </c>
      <c r="BR97" s="46">
        <v>0</v>
      </c>
      <c r="BS97" s="45">
        <v>2</v>
      </c>
      <c r="BT97" s="46">
        <v>28.571428571428573</v>
      </c>
      <c r="BU97" s="45">
        <v>7</v>
      </c>
    </row>
    <row r="98" spans="1:73" ht="15">
      <c r="A98" s="61" t="s">
        <v>287</v>
      </c>
      <c r="B98" s="61" t="s">
        <v>286</v>
      </c>
      <c r="C98" s="62" t="s">
        <v>11652</v>
      </c>
      <c r="D98" s="63">
        <v>3</v>
      </c>
      <c r="E98" s="64" t="s">
        <v>132</v>
      </c>
      <c r="F98" s="65">
        <v>32</v>
      </c>
      <c r="G98" s="62"/>
      <c r="H98" s="66"/>
      <c r="I98" s="67"/>
      <c r="J98" s="67"/>
      <c r="K98" s="31" t="s">
        <v>65</v>
      </c>
      <c r="L98" s="75">
        <v>98</v>
      </c>
      <c r="M98" s="75"/>
      <c r="N98" s="69"/>
      <c r="O98" s="77" t="s">
        <v>439</v>
      </c>
      <c r="P98" s="79">
        <v>45058.81862268518</v>
      </c>
      <c r="Q98" s="77" t="s">
        <v>511</v>
      </c>
      <c r="R98" s="77">
        <v>0</v>
      </c>
      <c r="S98" s="77">
        <v>0</v>
      </c>
      <c r="T98" s="77">
        <v>0</v>
      </c>
      <c r="U98" s="77">
        <v>0</v>
      </c>
      <c r="V98" s="77">
        <v>13</v>
      </c>
      <c r="W98" s="77"/>
      <c r="X98" s="77"/>
      <c r="Y98" s="77"/>
      <c r="Z98" s="77"/>
      <c r="AA98" s="77"/>
      <c r="AB98" s="77"/>
      <c r="AC98" s="81" t="s">
        <v>674</v>
      </c>
      <c r="AD98" s="77" t="s">
        <v>686</v>
      </c>
      <c r="AE98" s="83" t="str">
        <f>HYPERLINK("https://twitter.com/billy_purcell/status/1657108083825582081")</f>
        <v>https://twitter.com/billy_purcell/status/1657108083825582081</v>
      </c>
      <c r="AF98" s="79">
        <v>45058.81862268518</v>
      </c>
      <c r="AG98" s="85">
        <v>45058</v>
      </c>
      <c r="AH98" s="81" t="s">
        <v>756</v>
      </c>
      <c r="AI98" s="77"/>
      <c r="AJ98" s="77" t="s">
        <v>829</v>
      </c>
      <c r="AK98" s="77" t="s">
        <v>849</v>
      </c>
      <c r="AL98" s="77" t="s">
        <v>850</v>
      </c>
      <c r="AM98" s="77" t="s">
        <v>853</v>
      </c>
      <c r="AN98" s="77" t="s">
        <v>875</v>
      </c>
      <c r="AO98" s="77" t="s">
        <v>897</v>
      </c>
      <c r="AP98" s="77" t="s">
        <v>917</v>
      </c>
      <c r="AQ98" s="77"/>
      <c r="AR98" s="77"/>
      <c r="AS98" s="77"/>
      <c r="AT98" s="77"/>
      <c r="AU98" s="77"/>
      <c r="AV98" s="83" t="str">
        <f>HYPERLINK("https://pbs.twimg.com/profile_images/1733746878989352960/S3w_MIUm_normal.jpg")</f>
        <v>https://pbs.twimg.com/profile_images/1733746878989352960/S3w_MIUm_normal.jpg</v>
      </c>
      <c r="AW98" s="81" t="s">
        <v>1010</v>
      </c>
      <c r="AX98" s="81" t="s">
        <v>1010</v>
      </c>
      <c r="AY98" s="77"/>
      <c r="AZ98" s="81" t="s">
        <v>1210</v>
      </c>
      <c r="BA98" s="81" t="s">
        <v>1009</v>
      </c>
      <c r="BB98" s="81" t="s">
        <v>1210</v>
      </c>
      <c r="BC98" s="81" t="s">
        <v>1009</v>
      </c>
      <c r="BD98" s="77">
        <v>67397666</v>
      </c>
      <c r="BE98" s="77"/>
      <c r="BF98" s="77"/>
      <c r="BG98" s="77"/>
      <c r="BH98" s="77"/>
      <c r="BI98" s="77"/>
      <c r="BJ98">
        <v>1</v>
      </c>
      <c r="BK98" s="76" t="str">
        <f>REPLACE(INDEX(GroupVertices[Group],MATCH("~"&amp;Edges[[#This Row],[Vertex 1]],GroupVertices[Vertex],0)),1,1,"")</f>
        <v>44</v>
      </c>
      <c r="BL98" s="76" t="str">
        <f>REPLACE(INDEX(GroupVertices[Group],MATCH("~"&amp;Edges[[#This Row],[Vertex 2]],GroupVertices[Vertex],0)),1,1,"")</f>
        <v>44</v>
      </c>
      <c r="BM98" s="45">
        <v>0</v>
      </c>
      <c r="BN98" s="46">
        <v>0</v>
      </c>
      <c r="BO98" s="45">
        <v>4</v>
      </c>
      <c r="BP98" s="46">
        <v>25</v>
      </c>
      <c r="BQ98" s="45">
        <v>0</v>
      </c>
      <c r="BR98" s="46">
        <v>0</v>
      </c>
      <c r="BS98" s="45">
        <v>7</v>
      </c>
      <c r="BT98" s="46">
        <v>43.75</v>
      </c>
      <c r="BU98" s="45">
        <v>16</v>
      </c>
    </row>
    <row r="99" spans="1:73" ht="15">
      <c r="A99" s="61" t="s">
        <v>288</v>
      </c>
      <c r="B99" s="61" t="s">
        <v>392</v>
      </c>
      <c r="C99" s="62" t="s">
        <v>11652</v>
      </c>
      <c r="D99" s="63">
        <v>3</v>
      </c>
      <c r="E99" s="64" t="s">
        <v>132</v>
      </c>
      <c r="F99" s="65">
        <v>32</v>
      </c>
      <c r="G99" s="62"/>
      <c r="H99" s="66"/>
      <c r="I99" s="67"/>
      <c r="J99" s="67"/>
      <c r="K99" s="31" t="s">
        <v>65</v>
      </c>
      <c r="L99" s="75">
        <v>99</v>
      </c>
      <c r="M99" s="75"/>
      <c r="N99" s="69"/>
      <c r="O99" s="77" t="s">
        <v>437</v>
      </c>
      <c r="P99" s="79">
        <v>45133.6325462963</v>
      </c>
      <c r="Q99" s="77" t="s">
        <v>512</v>
      </c>
      <c r="R99" s="77">
        <v>0</v>
      </c>
      <c r="S99" s="77">
        <v>0</v>
      </c>
      <c r="T99" s="77">
        <v>0</v>
      </c>
      <c r="U99" s="77">
        <v>0</v>
      </c>
      <c r="V99" s="77">
        <v>31</v>
      </c>
      <c r="W99" s="77"/>
      <c r="X99" s="77"/>
      <c r="Y99" s="77"/>
      <c r="Z99" s="77" t="s">
        <v>635</v>
      </c>
      <c r="AA99" s="77"/>
      <c r="AB99" s="77"/>
      <c r="AC99" s="81" t="s">
        <v>674</v>
      </c>
      <c r="AD99" s="77" t="s">
        <v>686</v>
      </c>
      <c r="AE99" s="83" t="str">
        <f>HYPERLINK("https://twitter.com/art_burke/status/1684219740389257218")</f>
        <v>https://twitter.com/art_burke/status/1684219740389257218</v>
      </c>
      <c r="AF99" s="79">
        <v>45133.6325462963</v>
      </c>
      <c r="AG99" s="85">
        <v>45133</v>
      </c>
      <c r="AH99" s="81" t="s">
        <v>757</v>
      </c>
      <c r="AI99" s="77"/>
      <c r="AJ99" s="77" t="s">
        <v>828</v>
      </c>
      <c r="AK99" s="77" t="s">
        <v>849</v>
      </c>
      <c r="AL99" s="77" t="s">
        <v>850</v>
      </c>
      <c r="AM99" s="77" t="s">
        <v>852</v>
      </c>
      <c r="AN99" s="77" t="s">
        <v>874</v>
      </c>
      <c r="AO99" s="77" t="s">
        <v>896</v>
      </c>
      <c r="AP99" s="77" t="s">
        <v>917</v>
      </c>
      <c r="AQ99" s="77"/>
      <c r="AR99" s="77"/>
      <c r="AS99" s="77"/>
      <c r="AT99" s="77"/>
      <c r="AU99" s="77"/>
      <c r="AV99" s="83" t="str">
        <f>HYPERLINK("https://pbs.twimg.com/profile_images/577924067858104320/nB0U5RlO_normal.jpeg")</f>
        <v>https://pbs.twimg.com/profile_images/577924067858104320/nB0U5RlO_normal.jpeg</v>
      </c>
      <c r="AW99" s="81" t="s">
        <v>1011</v>
      </c>
      <c r="AX99" s="81" t="s">
        <v>1116</v>
      </c>
      <c r="AY99" s="81" t="s">
        <v>1180</v>
      </c>
      <c r="AZ99" s="81" t="s">
        <v>1223</v>
      </c>
      <c r="BA99" s="81" t="s">
        <v>1210</v>
      </c>
      <c r="BB99" s="81" t="s">
        <v>1210</v>
      </c>
      <c r="BC99" s="81" t="s">
        <v>1223</v>
      </c>
      <c r="BD99" s="77">
        <v>1217242807</v>
      </c>
      <c r="BE99" s="77"/>
      <c r="BF99" s="77"/>
      <c r="BG99" s="77"/>
      <c r="BH99" s="77"/>
      <c r="BI99" s="77"/>
      <c r="BJ99">
        <v>1</v>
      </c>
      <c r="BK99" s="76" t="str">
        <f>REPLACE(INDEX(GroupVertices[Group],MATCH("~"&amp;Edges[[#This Row],[Vertex 1]],GroupVertices[Vertex],0)),1,1,"")</f>
        <v>4</v>
      </c>
      <c r="BL99" s="76" t="str">
        <f>REPLACE(INDEX(GroupVertices[Group],MATCH("~"&amp;Edges[[#This Row],[Vertex 2]],GroupVertices[Vertex],0)),1,1,"")</f>
        <v>4</v>
      </c>
      <c r="BM99" s="45"/>
      <c r="BN99" s="46"/>
      <c r="BO99" s="45"/>
      <c r="BP99" s="46"/>
      <c r="BQ99" s="45"/>
      <c r="BR99" s="46"/>
      <c r="BS99" s="45"/>
      <c r="BT99" s="46"/>
      <c r="BU99" s="45"/>
    </row>
    <row r="100" spans="1:73" ht="15">
      <c r="A100" s="61" t="s">
        <v>288</v>
      </c>
      <c r="B100" s="61" t="s">
        <v>393</v>
      </c>
      <c r="C100" s="62" t="s">
        <v>11652</v>
      </c>
      <c r="D100" s="63">
        <v>3</v>
      </c>
      <c r="E100" s="64" t="s">
        <v>132</v>
      </c>
      <c r="F100" s="65">
        <v>32</v>
      </c>
      <c r="G100" s="62"/>
      <c r="H100" s="66"/>
      <c r="I100" s="67"/>
      <c r="J100" s="67"/>
      <c r="K100" s="31" t="s">
        <v>65</v>
      </c>
      <c r="L100" s="75">
        <v>100</v>
      </c>
      <c r="M100" s="75"/>
      <c r="N100" s="69"/>
      <c r="O100" s="77" t="s">
        <v>437</v>
      </c>
      <c r="P100" s="79">
        <v>45133.6325462963</v>
      </c>
      <c r="Q100" s="77" t="s">
        <v>512</v>
      </c>
      <c r="R100" s="77">
        <v>0</v>
      </c>
      <c r="S100" s="77">
        <v>0</v>
      </c>
      <c r="T100" s="77">
        <v>0</v>
      </c>
      <c r="U100" s="77">
        <v>0</v>
      </c>
      <c r="V100" s="77">
        <v>31</v>
      </c>
      <c r="W100" s="77"/>
      <c r="X100" s="77"/>
      <c r="Y100" s="77"/>
      <c r="Z100" s="77" t="s">
        <v>635</v>
      </c>
      <c r="AA100" s="77"/>
      <c r="AB100" s="77"/>
      <c r="AC100" s="81" t="s">
        <v>674</v>
      </c>
      <c r="AD100" s="77" t="s">
        <v>686</v>
      </c>
      <c r="AE100" s="83" t="str">
        <f>HYPERLINK("https://twitter.com/art_burke/status/1684219740389257218")</f>
        <v>https://twitter.com/art_burke/status/1684219740389257218</v>
      </c>
      <c r="AF100" s="79">
        <v>45133.6325462963</v>
      </c>
      <c r="AG100" s="85">
        <v>45133</v>
      </c>
      <c r="AH100" s="81" t="s">
        <v>757</v>
      </c>
      <c r="AI100" s="77"/>
      <c r="AJ100" s="77" t="s">
        <v>828</v>
      </c>
      <c r="AK100" s="77" t="s">
        <v>849</v>
      </c>
      <c r="AL100" s="77" t="s">
        <v>850</v>
      </c>
      <c r="AM100" s="77" t="s">
        <v>852</v>
      </c>
      <c r="AN100" s="77" t="s">
        <v>874</v>
      </c>
      <c r="AO100" s="77" t="s">
        <v>896</v>
      </c>
      <c r="AP100" s="77" t="s">
        <v>917</v>
      </c>
      <c r="AQ100" s="77"/>
      <c r="AR100" s="77"/>
      <c r="AS100" s="77"/>
      <c r="AT100" s="77"/>
      <c r="AU100" s="77"/>
      <c r="AV100" s="83" t="str">
        <f>HYPERLINK("https://pbs.twimg.com/profile_images/577924067858104320/nB0U5RlO_normal.jpeg")</f>
        <v>https://pbs.twimg.com/profile_images/577924067858104320/nB0U5RlO_normal.jpeg</v>
      </c>
      <c r="AW100" s="81" t="s">
        <v>1011</v>
      </c>
      <c r="AX100" s="81" t="s">
        <v>1116</v>
      </c>
      <c r="AY100" s="81" t="s">
        <v>1180</v>
      </c>
      <c r="AZ100" s="81" t="s">
        <v>1223</v>
      </c>
      <c r="BA100" s="81" t="s">
        <v>1210</v>
      </c>
      <c r="BB100" s="81" t="s">
        <v>1210</v>
      </c>
      <c r="BC100" s="81" t="s">
        <v>1223</v>
      </c>
      <c r="BD100" s="77">
        <v>1217242807</v>
      </c>
      <c r="BE100" s="77"/>
      <c r="BF100" s="77"/>
      <c r="BG100" s="77"/>
      <c r="BH100" s="77"/>
      <c r="BI100" s="77"/>
      <c r="BJ100">
        <v>1</v>
      </c>
      <c r="BK100" s="76" t="str">
        <f>REPLACE(INDEX(GroupVertices[Group],MATCH("~"&amp;Edges[[#This Row],[Vertex 1]],GroupVertices[Vertex],0)),1,1,"")</f>
        <v>4</v>
      </c>
      <c r="BL100" s="76" t="str">
        <f>REPLACE(INDEX(GroupVertices[Group],MATCH("~"&amp;Edges[[#This Row],[Vertex 2]],GroupVertices[Vertex],0)),1,1,"")</f>
        <v>4</v>
      </c>
      <c r="BM100" s="45"/>
      <c r="BN100" s="46"/>
      <c r="BO100" s="45"/>
      <c r="BP100" s="46"/>
      <c r="BQ100" s="45"/>
      <c r="BR100" s="46"/>
      <c r="BS100" s="45"/>
      <c r="BT100" s="46"/>
      <c r="BU100" s="45"/>
    </row>
    <row r="101" spans="1:73" ht="15">
      <c r="A101" s="61" t="s">
        <v>288</v>
      </c>
      <c r="B101" s="61" t="s">
        <v>394</v>
      </c>
      <c r="C101" s="62" t="s">
        <v>11652</v>
      </c>
      <c r="D101" s="63">
        <v>3</v>
      </c>
      <c r="E101" s="64" t="s">
        <v>132</v>
      </c>
      <c r="F101" s="65">
        <v>32</v>
      </c>
      <c r="G101" s="62"/>
      <c r="H101" s="66"/>
      <c r="I101" s="67"/>
      <c r="J101" s="67"/>
      <c r="K101" s="31" t="s">
        <v>65</v>
      </c>
      <c r="L101" s="75">
        <v>101</v>
      </c>
      <c r="M101" s="75"/>
      <c r="N101" s="69"/>
      <c r="O101" s="77" t="s">
        <v>438</v>
      </c>
      <c r="P101" s="79">
        <v>45133.6325462963</v>
      </c>
      <c r="Q101" s="77" t="s">
        <v>512</v>
      </c>
      <c r="R101" s="77">
        <v>0</v>
      </c>
      <c r="S101" s="77">
        <v>0</v>
      </c>
      <c r="T101" s="77">
        <v>0</v>
      </c>
      <c r="U101" s="77">
        <v>0</v>
      </c>
      <c r="V101" s="77">
        <v>31</v>
      </c>
      <c r="W101" s="77"/>
      <c r="X101" s="77"/>
      <c r="Y101" s="77"/>
      <c r="Z101" s="77" t="s">
        <v>635</v>
      </c>
      <c r="AA101" s="77"/>
      <c r="AB101" s="77"/>
      <c r="AC101" s="81" t="s">
        <v>674</v>
      </c>
      <c r="AD101" s="77" t="s">
        <v>686</v>
      </c>
      <c r="AE101" s="83" t="str">
        <f>HYPERLINK("https://twitter.com/art_burke/status/1684219740389257218")</f>
        <v>https://twitter.com/art_burke/status/1684219740389257218</v>
      </c>
      <c r="AF101" s="79">
        <v>45133.6325462963</v>
      </c>
      <c r="AG101" s="85">
        <v>45133</v>
      </c>
      <c r="AH101" s="81" t="s">
        <v>757</v>
      </c>
      <c r="AI101" s="77"/>
      <c r="AJ101" s="77" t="s">
        <v>828</v>
      </c>
      <c r="AK101" s="77" t="s">
        <v>849</v>
      </c>
      <c r="AL101" s="77" t="s">
        <v>850</v>
      </c>
      <c r="AM101" s="77" t="s">
        <v>852</v>
      </c>
      <c r="AN101" s="77" t="s">
        <v>874</v>
      </c>
      <c r="AO101" s="77" t="s">
        <v>896</v>
      </c>
      <c r="AP101" s="77" t="s">
        <v>917</v>
      </c>
      <c r="AQ101" s="77"/>
      <c r="AR101" s="77"/>
      <c r="AS101" s="77"/>
      <c r="AT101" s="77"/>
      <c r="AU101" s="77"/>
      <c r="AV101" s="83" t="str">
        <f>HYPERLINK("https://pbs.twimg.com/profile_images/577924067858104320/nB0U5RlO_normal.jpeg")</f>
        <v>https://pbs.twimg.com/profile_images/577924067858104320/nB0U5RlO_normal.jpeg</v>
      </c>
      <c r="AW101" s="81" t="s">
        <v>1011</v>
      </c>
      <c r="AX101" s="81" t="s">
        <v>1116</v>
      </c>
      <c r="AY101" s="81" t="s">
        <v>1180</v>
      </c>
      <c r="AZ101" s="81" t="s">
        <v>1223</v>
      </c>
      <c r="BA101" s="81" t="s">
        <v>1210</v>
      </c>
      <c r="BB101" s="81" t="s">
        <v>1210</v>
      </c>
      <c r="BC101" s="81" t="s">
        <v>1223</v>
      </c>
      <c r="BD101" s="77">
        <v>1217242807</v>
      </c>
      <c r="BE101" s="77"/>
      <c r="BF101" s="77"/>
      <c r="BG101" s="77"/>
      <c r="BH101" s="77"/>
      <c r="BI101" s="77"/>
      <c r="BJ101">
        <v>1</v>
      </c>
      <c r="BK101" s="76" t="str">
        <f>REPLACE(INDEX(GroupVertices[Group],MATCH("~"&amp;Edges[[#This Row],[Vertex 1]],GroupVertices[Vertex],0)),1,1,"")</f>
        <v>4</v>
      </c>
      <c r="BL101" s="76" t="str">
        <f>REPLACE(INDEX(GroupVertices[Group],MATCH("~"&amp;Edges[[#This Row],[Vertex 2]],GroupVertices[Vertex],0)),1,1,"")</f>
        <v>4</v>
      </c>
      <c r="BM101" s="45">
        <v>3</v>
      </c>
      <c r="BN101" s="46">
        <v>12</v>
      </c>
      <c r="BO101" s="45">
        <v>3</v>
      </c>
      <c r="BP101" s="46">
        <v>12</v>
      </c>
      <c r="BQ101" s="45">
        <v>0</v>
      </c>
      <c r="BR101" s="46">
        <v>0</v>
      </c>
      <c r="BS101" s="45">
        <v>13</v>
      </c>
      <c r="BT101" s="46">
        <v>52</v>
      </c>
      <c r="BU101" s="45">
        <v>25</v>
      </c>
    </row>
    <row r="102" spans="1:73" ht="15">
      <c r="A102" s="61" t="s">
        <v>288</v>
      </c>
      <c r="B102" s="61" t="s">
        <v>395</v>
      </c>
      <c r="C102" s="62" t="s">
        <v>11652</v>
      </c>
      <c r="D102" s="63">
        <v>3</v>
      </c>
      <c r="E102" s="64" t="s">
        <v>132</v>
      </c>
      <c r="F102" s="65">
        <v>32</v>
      </c>
      <c r="G102" s="62"/>
      <c r="H102" s="66"/>
      <c r="I102" s="67"/>
      <c r="J102" s="67"/>
      <c r="K102" s="31" t="s">
        <v>65</v>
      </c>
      <c r="L102" s="75">
        <v>102</v>
      </c>
      <c r="M102" s="75"/>
      <c r="N102" s="69"/>
      <c r="O102" s="77" t="s">
        <v>437</v>
      </c>
      <c r="P102" s="79">
        <v>45054.05712962963</v>
      </c>
      <c r="Q102" s="77" t="s">
        <v>513</v>
      </c>
      <c r="R102" s="77">
        <v>0</v>
      </c>
      <c r="S102" s="77">
        <v>1</v>
      </c>
      <c r="T102" s="77">
        <v>4</v>
      </c>
      <c r="U102" s="77">
        <v>0</v>
      </c>
      <c r="V102" s="77">
        <v>163</v>
      </c>
      <c r="W102" s="77"/>
      <c r="X102" s="77"/>
      <c r="Y102" s="77"/>
      <c r="Z102" s="77" t="s">
        <v>636</v>
      </c>
      <c r="AA102" s="77"/>
      <c r="AB102" s="77"/>
      <c r="AC102" s="81" t="s">
        <v>674</v>
      </c>
      <c r="AD102" s="77" t="s">
        <v>686</v>
      </c>
      <c r="AE102" s="83" t="str">
        <f>HYPERLINK("https://twitter.com/art_burke/status/1655382576570437632")</f>
        <v>https://twitter.com/art_burke/status/1655382576570437632</v>
      </c>
      <c r="AF102" s="79">
        <v>45054.05712962963</v>
      </c>
      <c r="AG102" s="85">
        <v>45054</v>
      </c>
      <c r="AH102" s="81" t="s">
        <v>758</v>
      </c>
      <c r="AI102" s="77"/>
      <c r="AJ102" s="77" t="s">
        <v>828</v>
      </c>
      <c r="AK102" s="77" t="s">
        <v>849</v>
      </c>
      <c r="AL102" s="77" t="s">
        <v>850</v>
      </c>
      <c r="AM102" s="77" t="s">
        <v>852</v>
      </c>
      <c r="AN102" s="77" t="s">
        <v>874</v>
      </c>
      <c r="AO102" s="77" t="s">
        <v>896</v>
      </c>
      <c r="AP102" s="77" t="s">
        <v>917</v>
      </c>
      <c r="AQ102" s="77"/>
      <c r="AR102" s="77"/>
      <c r="AS102" s="77"/>
      <c r="AT102" s="77"/>
      <c r="AU102" s="77"/>
      <c r="AV102" s="83" t="str">
        <f>HYPERLINK("https://pbs.twimg.com/profile_images/577924067858104320/nB0U5RlO_normal.jpeg")</f>
        <v>https://pbs.twimg.com/profile_images/577924067858104320/nB0U5RlO_normal.jpeg</v>
      </c>
      <c r="AW102" s="81" t="s">
        <v>1012</v>
      </c>
      <c r="AX102" s="81" t="s">
        <v>1117</v>
      </c>
      <c r="AY102" s="81" t="s">
        <v>1181</v>
      </c>
      <c r="AZ102" s="81" t="s">
        <v>1224</v>
      </c>
      <c r="BA102" s="81" t="s">
        <v>1210</v>
      </c>
      <c r="BB102" s="81" t="s">
        <v>1210</v>
      </c>
      <c r="BC102" s="81" t="s">
        <v>1224</v>
      </c>
      <c r="BD102" s="77">
        <v>1217242807</v>
      </c>
      <c r="BE102" s="77"/>
      <c r="BF102" s="77"/>
      <c r="BG102" s="77"/>
      <c r="BH102" s="77"/>
      <c r="BI102" s="77"/>
      <c r="BJ102">
        <v>1</v>
      </c>
      <c r="BK102" s="76" t="str">
        <f>REPLACE(INDEX(GroupVertices[Group],MATCH("~"&amp;Edges[[#This Row],[Vertex 1]],GroupVertices[Vertex],0)),1,1,"")</f>
        <v>4</v>
      </c>
      <c r="BL102" s="76" t="str">
        <f>REPLACE(INDEX(GroupVertices[Group],MATCH("~"&amp;Edges[[#This Row],[Vertex 2]],GroupVertices[Vertex],0)),1,1,"")</f>
        <v>4</v>
      </c>
      <c r="BM102" s="45"/>
      <c r="BN102" s="46"/>
      <c r="BO102" s="45"/>
      <c r="BP102" s="46"/>
      <c r="BQ102" s="45"/>
      <c r="BR102" s="46"/>
      <c r="BS102" s="45"/>
      <c r="BT102" s="46"/>
      <c r="BU102" s="45"/>
    </row>
    <row r="103" spans="1:73" ht="15">
      <c r="A103" s="61" t="s">
        <v>288</v>
      </c>
      <c r="B103" s="61" t="s">
        <v>396</v>
      </c>
      <c r="C103" s="62" t="s">
        <v>11652</v>
      </c>
      <c r="D103" s="63">
        <v>3</v>
      </c>
      <c r="E103" s="64" t="s">
        <v>132</v>
      </c>
      <c r="F103" s="65">
        <v>32</v>
      </c>
      <c r="G103" s="62"/>
      <c r="H103" s="66"/>
      <c r="I103" s="67"/>
      <c r="J103" s="67"/>
      <c r="K103" s="31" t="s">
        <v>65</v>
      </c>
      <c r="L103" s="75">
        <v>103</v>
      </c>
      <c r="M103" s="75"/>
      <c r="N103" s="69"/>
      <c r="O103" s="77" t="s">
        <v>438</v>
      </c>
      <c r="P103" s="79">
        <v>45054.05712962963</v>
      </c>
      <c r="Q103" s="77" t="s">
        <v>513</v>
      </c>
      <c r="R103" s="77">
        <v>0</v>
      </c>
      <c r="S103" s="77">
        <v>1</v>
      </c>
      <c r="T103" s="77">
        <v>4</v>
      </c>
      <c r="U103" s="77">
        <v>0</v>
      </c>
      <c r="V103" s="77">
        <v>163</v>
      </c>
      <c r="W103" s="77"/>
      <c r="X103" s="77"/>
      <c r="Y103" s="77"/>
      <c r="Z103" s="77" t="s">
        <v>636</v>
      </c>
      <c r="AA103" s="77"/>
      <c r="AB103" s="77"/>
      <c r="AC103" s="81" t="s">
        <v>674</v>
      </c>
      <c r="AD103" s="77" t="s">
        <v>686</v>
      </c>
      <c r="AE103" s="83" t="str">
        <f>HYPERLINK("https://twitter.com/art_burke/status/1655382576570437632")</f>
        <v>https://twitter.com/art_burke/status/1655382576570437632</v>
      </c>
      <c r="AF103" s="79">
        <v>45054.05712962963</v>
      </c>
      <c r="AG103" s="85">
        <v>45054</v>
      </c>
      <c r="AH103" s="81" t="s">
        <v>758</v>
      </c>
      <c r="AI103" s="77"/>
      <c r="AJ103" s="77" t="s">
        <v>828</v>
      </c>
      <c r="AK103" s="77" t="s">
        <v>849</v>
      </c>
      <c r="AL103" s="77" t="s">
        <v>850</v>
      </c>
      <c r="AM103" s="77" t="s">
        <v>852</v>
      </c>
      <c r="AN103" s="77" t="s">
        <v>874</v>
      </c>
      <c r="AO103" s="77" t="s">
        <v>896</v>
      </c>
      <c r="AP103" s="77" t="s">
        <v>917</v>
      </c>
      <c r="AQ103" s="77"/>
      <c r="AR103" s="77"/>
      <c r="AS103" s="77"/>
      <c r="AT103" s="77"/>
      <c r="AU103" s="77"/>
      <c r="AV103" s="83" t="str">
        <f>HYPERLINK("https://pbs.twimg.com/profile_images/577924067858104320/nB0U5RlO_normal.jpeg")</f>
        <v>https://pbs.twimg.com/profile_images/577924067858104320/nB0U5RlO_normal.jpeg</v>
      </c>
      <c r="AW103" s="81" t="s">
        <v>1012</v>
      </c>
      <c r="AX103" s="81" t="s">
        <v>1117</v>
      </c>
      <c r="AY103" s="81" t="s">
        <v>1181</v>
      </c>
      <c r="AZ103" s="81" t="s">
        <v>1224</v>
      </c>
      <c r="BA103" s="81" t="s">
        <v>1210</v>
      </c>
      <c r="BB103" s="81" t="s">
        <v>1210</v>
      </c>
      <c r="BC103" s="81" t="s">
        <v>1224</v>
      </c>
      <c r="BD103" s="77">
        <v>1217242807</v>
      </c>
      <c r="BE103" s="77"/>
      <c r="BF103" s="77"/>
      <c r="BG103" s="77"/>
      <c r="BH103" s="77"/>
      <c r="BI103" s="77"/>
      <c r="BJ103">
        <v>1</v>
      </c>
      <c r="BK103" s="76" t="str">
        <f>REPLACE(INDEX(GroupVertices[Group],MATCH("~"&amp;Edges[[#This Row],[Vertex 1]],GroupVertices[Vertex],0)),1,1,"")</f>
        <v>4</v>
      </c>
      <c r="BL103" s="76" t="str">
        <f>REPLACE(INDEX(GroupVertices[Group],MATCH("~"&amp;Edges[[#This Row],[Vertex 2]],GroupVertices[Vertex],0)),1,1,"")</f>
        <v>4</v>
      </c>
      <c r="BM103" s="45">
        <v>0</v>
      </c>
      <c r="BN103" s="46">
        <v>0</v>
      </c>
      <c r="BO103" s="45">
        <v>2</v>
      </c>
      <c r="BP103" s="46">
        <v>8.695652173913043</v>
      </c>
      <c r="BQ103" s="45">
        <v>0</v>
      </c>
      <c r="BR103" s="46">
        <v>0</v>
      </c>
      <c r="BS103" s="45">
        <v>12</v>
      </c>
      <c r="BT103" s="46">
        <v>52.17391304347826</v>
      </c>
      <c r="BU103" s="45">
        <v>23</v>
      </c>
    </row>
    <row r="104" spans="1:73" ht="15">
      <c r="A104" s="61" t="s">
        <v>288</v>
      </c>
      <c r="B104" s="61" t="s">
        <v>397</v>
      </c>
      <c r="C104" s="62" t="s">
        <v>11652</v>
      </c>
      <c r="D104" s="63">
        <v>3</v>
      </c>
      <c r="E104" s="64" t="s">
        <v>132</v>
      </c>
      <c r="F104" s="65">
        <v>32</v>
      </c>
      <c r="G104" s="62"/>
      <c r="H104" s="66"/>
      <c r="I104" s="67"/>
      <c r="J104" s="67"/>
      <c r="K104" s="31" t="s">
        <v>65</v>
      </c>
      <c r="L104" s="75">
        <v>104</v>
      </c>
      <c r="M104" s="75"/>
      <c r="N104" s="69"/>
      <c r="O104" s="77" t="s">
        <v>438</v>
      </c>
      <c r="P104" s="79">
        <v>45298.71534722222</v>
      </c>
      <c r="Q104" s="77" t="s">
        <v>514</v>
      </c>
      <c r="R104" s="77">
        <v>0</v>
      </c>
      <c r="S104" s="77">
        <v>0</v>
      </c>
      <c r="T104" s="77">
        <v>0</v>
      </c>
      <c r="U104" s="77">
        <v>0</v>
      </c>
      <c r="V104" s="77">
        <v>10</v>
      </c>
      <c r="W104" s="77"/>
      <c r="X104" s="77"/>
      <c r="Y104" s="77"/>
      <c r="Z104" s="77" t="s">
        <v>397</v>
      </c>
      <c r="AA104" s="77"/>
      <c r="AB104" s="77"/>
      <c r="AC104" s="81" t="s">
        <v>674</v>
      </c>
      <c r="AD104" s="77" t="s">
        <v>686</v>
      </c>
      <c r="AE104" s="83" t="str">
        <f>HYPERLINK("https://twitter.com/art_burke/status/1744043745061093619")</f>
        <v>https://twitter.com/art_burke/status/1744043745061093619</v>
      </c>
      <c r="AF104" s="79">
        <v>45298.71534722222</v>
      </c>
      <c r="AG104" s="85">
        <v>45298</v>
      </c>
      <c r="AH104" s="81" t="s">
        <v>759</v>
      </c>
      <c r="AI104" s="77"/>
      <c r="AJ104" s="77" t="s">
        <v>828</v>
      </c>
      <c r="AK104" s="77" t="s">
        <v>849</v>
      </c>
      <c r="AL104" s="77" t="s">
        <v>850</v>
      </c>
      <c r="AM104" s="77" t="s">
        <v>852</v>
      </c>
      <c r="AN104" s="77" t="s">
        <v>874</v>
      </c>
      <c r="AO104" s="77" t="s">
        <v>896</v>
      </c>
      <c r="AP104" s="77" t="s">
        <v>917</v>
      </c>
      <c r="AQ104" s="77"/>
      <c r="AR104" s="77"/>
      <c r="AS104" s="77"/>
      <c r="AT104" s="77"/>
      <c r="AU104" s="77"/>
      <c r="AV104" s="83" t="str">
        <f>HYPERLINK("https://pbs.twimg.com/profile_images/577924067858104320/nB0U5RlO_normal.jpeg")</f>
        <v>https://pbs.twimg.com/profile_images/577924067858104320/nB0U5RlO_normal.jpeg</v>
      </c>
      <c r="AW104" s="81" t="s">
        <v>1013</v>
      </c>
      <c r="AX104" s="81" t="s">
        <v>1118</v>
      </c>
      <c r="AY104" s="81" t="s">
        <v>1182</v>
      </c>
      <c r="AZ104" s="81" t="s">
        <v>1118</v>
      </c>
      <c r="BA104" s="81" t="s">
        <v>1210</v>
      </c>
      <c r="BB104" s="81" t="s">
        <v>1210</v>
      </c>
      <c r="BC104" s="81" t="s">
        <v>1118</v>
      </c>
      <c r="BD104" s="77">
        <v>1217242807</v>
      </c>
      <c r="BE104" s="77"/>
      <c r="BF104" s="77"/>
      <c r="BG104" s="77"/>
      <c r="BH104" s="77"/>
      <c r="BI104" s="77"/>
      <c r="BJ104">
        <v>1</v>
      </c>
      <c r="BK104" s="76" t="str">
        <f>REPLACE(INDEX(GroupVertices[Group],MATCH("~"&amp;Edges[[#This Row],[Vertex 1]],GroupVertices[Vertex],0)),1,1,"")</f>
        <v>4</v>
      </c>
      <c r="BL104" s="76" t="str">
        <f>REPLACE(INDEX(GroupVertices[Group],MATCH("~"&amp;Edges[[#This Row],[Vertex 2]],GroupVertices[Vertex],0)),1,1,"")</f>
        <v>4</v>
      </c>
      <c r="BM104" s="45">
        <v>3</v>
      </c>
      <c r="BN104" s="46">
        <v>7.5</v>
      </c>
      <c r="BO104" s="45">
        <v>3</v>
      </c>
      <c r="BP104" s="46">
        <v>7.5</v>
      </c>
      <c r="BQ104" s="45">
        <v>0</v>
      </c>
      <c r="BR104" s="46">
        <v>0</v>
      </c>
      <c r="BS104" s="45">
        <v>23</v>
      </c>
      <c r="BT104" s="46">
        <v>57.5</v>
      </c>
      <c r="BU104" s="45">
        <v>40</v>
      </c>
    </row>
    <row r="105" spans="1:73" ht="15">
      <c r="A105" s="61" t="s">
        <v>289</v>
      </c>
      <c r="B105" s="61" t="s">
        <v>289</v>
      </c>
      <c r="C105" s="62" t="s">
        <v>11652</v>
      </c>
      <c r="D105" s="63">
        <v>3</v>
      </c>
      <c r="E105" s="64" t="s">
        <v>132</v>
      </c>
      <c r="F105" s="65">
        <v>32</v>
      </c>
      <c r="G105" s="62"/>
      <c r="H105" s="66"/>
      <c r="I105" s="67"/>
      <c r="J105" s="67"/>
      <c r="K105" s="31" t="s">
        <v>65</v>
      </c>
      <c r="L105" s="75">
        <v>105</v>
      </c>
      <c r="M105" s="75"/>
      <c r="N105" s="69"/>
      <c r="O105" s="77" t="s">
        <v>178</v>
      </c>
      <c r="P105" s="79">
        <v>45311.34392361111</v>
      </c>
      <c r="Q105" s="77" t="s">
        <v>515</v>
      </c>
      <c r="R105" s="77">
        <v>1478</v>
      </c>
      <c r="S105" s="77">
        <v>1857</v>
      </c>
      <c r="T105" s="77">
        <v>109</v>
      </c>
      <c r="U105" s="77">
        <v>200</v>
      </c>
      <c r="V105" s="77">
        <v>75725</v>
      </c>
      <c r="W105" s="77"/>
      <c r="X105" s="77"/>
      <c r="Y105" s="77"/>
      <c r="Z105" s="77"/>
      <c r="AA105" s="77" t="s">
        <v>654</v>
      </c>
      <c r="AB105" s="77" t="s">
        <v>672</v>
      </c>
      <c r="AC105" s="81" t="s">
        <v>677</v>
      </c>
      <c r="AD105" s="77" t="s">
        <v>686</v>
      </c>
      <c r="AE105" s="83" t="str">
        <f>HYPERLINK("https://twitter.com/mordechaiklompa/status/1748620187526402171")</f>
        <v>https://twitter.com/mordechaiklompa/status/1748620187526402171</v>
      </c>
      <c r="AF105" s="79">
        <v>45311.34392361111</v>
      </c>
      <c r="AG105" s="85">
        <v>45311</v>
      </c>
      <c r="AH105" s="81" t="s">
        <v>760</v>
      </c>
      <c r="AI105" s="77" t="b">
        <v>0</v>
      </c>
      <c r="AJ105" s="77"/>
      <c r="AK105" s="77"/>
      <c r="AL105" s="77"/>
      <c r="AM105" s="77"/>
      <c r="AN105" s="77"/>
      <c r="AO105" s="77"/>
      <c r="AP105" s="77"/>
      <c r="AQ105" s="77" t="s">
        <v>925</v>
      </c>
      <c r="AR105" s="77">
        <v>118699</v>
      </c>
      <c r="AS105" s="77"/>
      <c r="AT105" s="77"/>
      <c r="AU105" s="77"/>
      <c r="AV105" s="83" t="str">
        <f>HYPERLINK("https://pbs.twimg.com/ext_tw_video_thumb/1748620090319286272/pu/img/Rpb0AiiDyI3YhsKr.jpg")</f>
        <v>https://pbs.twimg.com/ext_tw_video_thumb/1748620090319286272/pu/img/Rpb0AiiDyI3YhsKr.jpg</v>
      </c>
      <c r="AW105" s="81" t="s">
        <v>1014</v>
      </c>
      <c r="AX105" s="81" t="s">
        <v>1014</v>
      </c>
      <c r="AY105" s="77"/>
      <c r="AZ105" s="81" t="s">
        <v>1210</v>
      </c>
      <c r="BA105" s="81" t="s">
        <v>1210</v>
      </c>
      <c r="BB105" s="81" t="s">
        <v>1210</v>
      </c>
      <c r="BC105" s="81" t="s">
        <v>1014</v>
      </c>
      <c r="BD105" s="81" t="s">
        <v>1267</v>
      </c>
      <c r="BE105" s="77"/>
      <c r="BF105" s="77"/>
      <c r="BG105" s="77"/>
      <c r="BH105" s="77"/>
      <c r="BI105" s="77"/>
      <c r="BJ105">
        <v>1</v>
      </c>
      <c r="BK105" s="76" t="str">
        <f>REPLACE(INDEX(GroupVertices[Group],MATCH("~"&amp;Edges[[#This Row],[Vertex 1]],GroupVertices[Vertex],0)),1,1,"")</f>
        <v>43</v>
      </c>
      <c r="BL105" s="76" t="str">
        <f>REPLACE(INDEX(GroupVertices[Group],MATCH("~"&amp;Edges[[#This Row],[Vertex 2]],GroupVertices[Vertex],0)),1,1,"")</f>
        <v>43</v>
      </c>
      <c r="BM105" s="45">
        <v>0</v>
      </c>
      <c r="BN105" s="46">
        <v>0</v>
      </c>
      <c r="BO105" s="45">
        <v>2</v>
      </c>
      <c r="BP105" s="46">
        <v>4.545454545454546</v>
      </c>
      <c r="BQ105" s="45">
        <v>0</v>
      </c>
      <c r="BR105" s="46">
        <v>0</v>
      </c>
      <c r="BS105" s="45">
        <v>18</v>
      </c>
      <c r="BT105" s="46">
        <v>40.90909090909091</v>
      </c>
      <c r="BU105" s="45">
        <v>44</v>
      </c>
    </row>
    <row r="106" spans="1:73" ht="15">
      <c r="A106" s="61" t="s">
        <v>290</v>
      </c>
      <c r="B106" s="61" t="s">
        <v>289</v>
      </c>
      <c r="C106" s="62" t="s">
        <v>11652</v>
      </c>
      <c r="D106" s="63">
        <v>3</v>
      </c>
      <c r="E106" s="64" t="s">
        <v>132</v>
      </c>
      <c r="F106" s="65">
        <v>32</v>
      </c>
      <c r="G106" s="62"/>
      <c r="H106" s="66"/>
      <c r="I106" s="67"/>
      <c r="J106" s="67"/>
      <c r="K106" s="31" t="s">
        <v>65</v>
      </c>
      <c r="L106" s="75">
        <v>106</v>
      </c>
      <c r="M106" s="75"/>
      <c r="N106" s="69"/>
      <c r="O106" s="77" t="s">
        <v>439</v>
      </c>
      <c r="P106" s="79">
        <v>45315.86324074074</v>
      </c>
      <c r="Q106" s="77" t="s">
        <v>516</v>
      </c>
      <c r="R106" s="77">
        <v>0</v>
      </c>
      <c r="S106" s="77">
        <v>0</v>
      </c>
      <c r="T106" s="77">
        <v>0</v>
      </c>
      <c r="U106" s="77">
        <v>0</v>
      </c>
      <c r="V106" s="77">
        <v>43</v>
      </c>
      <c r="W106" s="81" t="s">
        <v>590</v>
      </c>
      <c r="X106" s="77"/>
      <c r="Y106" s="77"/>
      <c r="Z106" s="77"/>
      <c r="AA106" s="77"/>
      <c r="AB106" s="77"/>
      <c r="AC106" s="81" t="s">
        <v>677</v>
      </c>
      <c r="AD106" s="77" t="s">
        <v>686</v>
      </c>
      <c r="AE106" s="83" t="str">
        <f>HYPERLINK("https://twitter.com/gentlypress/status/1750257933307547749")</f>
        <v>https://twitter.com/gentlypress/status/1750257933307547749</v>
      </c>
      <c r="AF106" s="79">
        <v>45315.86324074074</v>
      </c>
      <c r="AG106" s="85">
        <v>45315</v>
      </c>
      <c r="AH106" s="81" t="s">
        <v>761</v>
      </c>
      <c r="AI106" s="77"/>
      <c r="AJ106" s="77"/>
      <c r="AK106" s="77"/>
      <c r="AL106" s="77"/>
      <c r="AM106" s="77"/>
      <c r="AN106" s="77"/>
      <c r="AO106" s="77"/>
      <c r="AP106" s="77"/>
      <c r="AQ106" s="77"/>
      <c r="AR106" s="77"/>
      <c r="AS106" s="77"/>
      <c r="AT106" s="77"/>
      <c r="AU106" s="77"/>
      <c r="AV106" s="83" t="str">
        <f>HYPERLINK("https://pbs.twimg.com/profile_images/1713973080492752896/IxjB2O_G_normal.jpg")</f>
        <v>https://pbs.twimg.com/profile_images/1713973080492752896/IxjB2O_G_normal.jpg</v>
      </c>
      <c r="AW106" s="81" t="s">
        <v>1015</v>
      </c>
      <c r="AX106" s="81" t="s">
        <v>1015</v>
      </c>
      <c r="AY106" s="77"/>
      <c r="AZ106" s="81" t="s">
        <v>1210</v>
      </c>
      <c r="BA106" s="81" t="s">
        <v>1014</v>
      </c>
      <c r="BB106" s="81" t="s">
        <v>1210</v>
      </c>
      <c r="BC106" s="81" t="s">
        <v>1014</v>
      </c>
      <c r="BD106" s="77">
        <v>181832906</v>
      </c>
      <c r="BE106" s="77"/>
      <c r="BF106" s="77"/>
      <c r="BG106" s="77"/>
      <c r="BH106" s="77"/>
      <c r="BI106" s="77"/>
      <c r="BJ106">
        <v>1</v>
      </c>
      <c r="BK106" s="76" t="str">
        <f>REPLACE(INDEX(GroupVertices[Group],MATCH("~"&amp;Edges[[#This Row],[Vertex 1]],GroupVertices[Vertex],0)),1,1,"")</f>
        <v>43</v>
      </c>
      <c r="BL106" s="76" t="str">
        <f>REPLACE(INDEX(GroupVertices[Group],MATCH("~"&amp;Edges[[#This Row],[Vertex 2]],GroupVertices[Vertex],0)),1,1,"")</f>
        <v>43</v>
      </c>
      <c r="BM106" s="45">
        <v>0</v>
      </c>
      <c r="BN106" s="46">
        <v>0</v>
      </c>
      <c r="BO106" s="45">
        <v>4</v>
      </c>
      <c r="BP106" s="46">
        <v>13.333333333333334</v>
      </c>
      <c r="BQ106" s="45">
        <v>0</v>
      </c>
      <c r="BR106" s="46">
        <v>0</v>
      </c>
      <c r="BS106" s="45">
        <v>15</v>
      </c>
      <c r="BT106" s="46">
        <v>50</v>
      </c>
      <c r="BU106" s="45">
        <v>30</v>
      </c>
    </row>
    <row r="107" spans="1:73" ht="15">
      <c r="A107" s="61" t="s">
        <v>291</v>
      </c>
      <c r="B107" s="61" t="s">
        <v>398</v>
      </c>
      <c r="C107" s="62" t="s">
        <v>11652</v>
      </c>
      <c r="D107" s="63">
        <v>3</v>
      </c>
      <c r="E107" s="64" t="s">
        <v>132</v>
      </c>
      <c r="F107" s="65">
        <v>32</v>
      </c>
      <c r="G107" s="62"/>
      <c r="H107" s="66"/>
      <c r="I107" s="67"/>
      <c r="J107" s="67"/>
      <c r="K107" s="31" t="s">
        <v>65</v>
      </c>
      <c r="L107" s="75">
        <v>107</v>
      </c>
      <c r="M107" s="75"/>
      <c r="N107" s="69"/>
      <c r="O107" s="77" t="s">
        <v>437</v>
      </c>
      <c r="P107" s="79">
        <v>45316.04657407408</v>
      </c>
      <c r="Q107" s="77" t="s">
        <v>517</v>
      </c>
      <c r="R107" s="77">
        <v>0</v>
      </c>
      <c r="S107" s="77">
        <v>3</v>
      </c>
      <c r="T107" s="77">
        <v>3</v>
      </c>
      <c r="U107" s="77">
        <v>0</v>
      </c>
      <c r="V107" s="77">
        <v>94</v>
      </c>
      <c r="W107" s="77"/>
      <c r="X107" s="77"/>
      <c r="Y107" s="77"/>
      <c r="Z107" s="77" t="s">
        <v>637</v>
      </c>
      <c r="AA107" s="77"/>
      <c r="AB107" s="77"/>
      <c r="AC107" s="81" t="s">
        <v>677</v>
      </c>
      <c r="AD107" s="77" t="s">
        <v>686</v>
      </c>
      <c r="AE107" s="83" t="str">
        <f>HYPERLINK("https://twitter.com/beautiful_str34/status/1750324372844495189")</f>
        <v>https://twitter.com/beautiful_str34/status/1750324372844495189</v>
      </c>
      <c r="AF107" s="79">
        <v>45316.04657407408</v>
      </c>
      <c r="AG107" s="85">
        <v>45316</v>
      </c>
      <c r="AH107" s="81" t="s">
        <v>762</v>
      </c>
      <c r="AI107" s="77"/>
      <c r="AJ107" s="77"/>
      <c r="AK107" s="77"/>
      <c r="AL107" s="77"/>
      <c r="AM107" s="77"/>
      <c r="AN107" s="77"/>
      <c r="AO107" s="77"/>
      <c r="AP107" s="77"/>
      <c r="AQ107" s="77"/>
      <c r="AR107" s="77"/>
      <c r="AS107" s="77"/>
      <c r="AT107" s="77"/>
      <c r="AU107" s="77"/>
      <c r="AV107" s="83" t="str">
        <f>HYPERLINK("https://pbs.twimg.com/profile_images/1688724927590080512/k9BtWP8O_normal.jpg")</f>
        <v>https://pbs.twimg.com/profile_images/1688724927590080512/k9BtWP8O_normal.jpg</v>
      </c>
      <c r="AW107" s="81" t="s">
        <v>1016</v>
      </c>
      <c r="AX107" s="81" t="s">
        <v>1119</v>
      </c>
      <c r="AY107" s="81" t="s">
        <v>1183</v>
      </c>
      <c r="AZ107" s="81" t="s">
        <v>1119</v>
      </c>
      <c r="BA107" s="81" t="s">
        <v>1210</v>
      </c>
      <c r="BB107" s="81" t="s">
        <v>1210</v>
      </c>
      <c r="BC107" s="81" t="s">
        <v>1119</v>
      </c>
      <c r="BD107" s="81" t="s">
        <v>1268</v>
      </c>
      <c r="BE107" s="77"/>
      <c r="BF107" s="77"/>
      <c r="BG107" s="77"/>
      <c r="BH107" s="77"/>
      <c r="BI107" s="77"/>
      <c r="BJ107">
        <v>1</v>
      </c>
      <c r="BK107" s="76" t="str">
        <f>REPLACE(INDEX(GroupVertices[Group],MATCH("~"&amp;Edges[[#This Row],[Vertex 1]],GroupVertices[Vertex],0)),1,1,"")</f>
        <v>5</v>
      </c>
      <c r="BL107" s="76" t="str">
        <f>REPLACE(INDEX(GroupVertices[Group],MATCH("~"&amp;Edges[[#This Row],[Vertex 2]],GroupVertices[Vertex],0)),1,1,"")</f>
        <v>5</v>
      </c>
      <c r="BM107" s="45"/>
      <c r="BN107" s="46"/>
      <c r="BO107" s="45"/>
      <c r="BP107" s="46"/>
      <c r="BQ107" s="45"/>
      <c r="BR107" s="46"/>
      <c r="BS107" s="45"/>
      <c r="BT107" s="46"/>
      <c r="BU107" s="45"/>
    </row>
    <row r="108" spans="1:73" ht="15">
      <c r="A108" s="61" t="s">
        <v>291</v>
      </c>
      <c r="B108" s="61" t="s">
        <v>399</v>
      </c>
      <c r="C108" s="62" t="s">
        <v>11652</v>
      </c>
      <c r="D108" s="63">
        <v>3</v>
      </c>
      <c r="E108" s="64" t="s">
        <v>132</v>
      </c>
      <c r="F108" s="65">
        <v>32</v>
      </c>
      <c r="G108" s="62"/>
      <c r="H108" s="66"/>
      <c r="I108" s="67"/>
      <c r="J108" s="67"/>
      <c r="K108" s="31" t="s">
        <v>65</v>
      </c>
      <c r="L108" s="75">
        <v>108</v>
      </c>
      <c r="M108" s="75"/>
      <c r="N108" s="69"/>
      <c r="O108" s="77" t="s">
        <v>437</v>
      </c>
      <c r="P108" s="79">
        <v>45316.04657407408</v>
      </c>
      <c r="Q108" s="77" t="s">
        <v>517</v>
      </c>
      <c r="R108" s="77">
        <v>0</v>
      </c>
      <c r="S108" s="77">
        <v>3</v>
      </c>
      <c r="T108" s="77">
        <v>3</v>
      </c>
      <c r="U108" s="77">
        <v>0</v>
      </c>
      <c r="V108" s="77">
        <v>94</v>
      </c>
      <c r="W108" s="77"/>
      <c r="X108" s="77"/>
      <c r="Y108" s="77"/>
      <c r="Z108" s="77" t="s">
        <v>637</v>
      </c>
      <c r="AA108" s="77"/>
      <c r="AB108" s="77"/>
      <c r="AC108" s="81" t="s">
        <v>677</v>
      </c>
      <c r="AD108" s="77" t="s">
        <v>686</v>
      </c>
      <c r="AE108" s="83" t="str">
        <f>HYPERLINK("https://twitter.com/beautiful_str34/status/1750324372844495189")</f>
        <v>https://twitter.com/beautiful_str34/status/1750324372844495189</v>
      </c>
      <c r="AF108" s="79">
        <v>45316.04657407408</v>
      </c>
      <c r="AG108" s="85">
        <v>45316</v>
      </c>
      <c r="AH108" s="81" t="s">
        <v>762</v>
      </c>
      <c r="AI108" s="77"/>
      <c r="AJ108" s="77"/>
      <c r="AK108" s="77"/>
      <c r="AL108" s="77"/>
      <c r="AM108" s="77"/>
      <c r="AN108" s="77"/>
      <c r="AO108" s="77"/>
      <c r="AP108" s="77"/>
      <c r="AQ108" s="77"/>
      <c r="AR108" s="77"/>
      <c r="AS108" s="77"/>
      <c r="AT108" s="77"/>
      <c r="AU108" s="77"/>
      <c r="AV108" s="83" t="str">
        <f>HYPERLINK("https://pbs.twimg.com/profile_images/1688724927590080512/k9BtWP8O_normal.jpg")</f>
        <v>https://pbs.twimg.com/profile_images/1688724927590080512/k9BtWP8O_normal.jpg</v>
      </c>
      <c r="AW108" s="81" t="s">
        <v>1016</v>
      </c>
      <c r="AX108" s="81" t="s">
        <v>1119</v>
      </c>
      <c r="AY108" s="81" t="s">
        <v>1183</v>
      </c>
      <c r="AZ108" s="81" t="s">
        <v>1119</v>
      </c>
      <c r="BA108" s="81" t="s">
        <v>1210</v>
      </c>
      <c r="BB108" s="81" t="s">
        <v>1210</v>
      </c>
      <c r="BC108" s="81" t="s">
        <v>1119</v>
      </c>
      <c r="BD108" s="81" t="s">
        <v>1268</v>
      </c>
      <c r="BE108" s="77"/>
      <c r="BF108" s="77"/>
      <c r="BG108" s="77"/>
      <c r="BH108" s="77"/>
      <c r="BI108" s="77"/>
      <c r="BJ108">
        <v>1</v>
      </c>
      <c r="BK108" s="76" t="str">
        <f>REPLACE(INDEX(GroupVertices[Group],MATCH("~"&amp;Edges[[#This Row],[Vertex 1]],GroupVertices[Vertex],0)),1,1,"")</f>
        <v>5</v>
      </c>
      <c r="BL108" s="76" t="str">
        <f>REPLACE(INDEX(GroupVertices[Group],MATCH("~"&amp;Edges[[#This Row],[Vertex 2]],GroupVertices[Vertex],0)),1,1,"")</f>
        <v>5</v>
      </c>
      <c r="BM108" s="45"/>
      <c r="BN108" s="46"/>
      <c r="BO108" s="45"/>
      <c r="BP108" s="46"/>
      <c r="BQ108" s="45"/>
      <c r="BR108" s="46"/>
      <c r="BS108" s="45"/>
      <c r="BT108" s="46"/>
      <c r="BU108" s="45"/>
    </row>
    <row r="109" spans="1:73" ht="15">
      <c r="A109" s="61" t="s">
        <v>291</v>
      </c>
      <c r="B109" s="61" t="s">
        <v>400</v>
      </c>
      <c r="C109" s="62" t="s">
        <v>11652</v>
      </c>
      <c r="D109" s="63">
        <v>3</v>
      </c>
      <c r="E109" s="64" t="s">
        <v>132</v>
      </c>
      <c r="F109" s="65">
        <v>32</v>
      </c>
      <c r="G109" s="62"/>
      <c r="H109" s="66"/>
      <c r="I109" s="67"/>
      <c r="J109" s="67"/>
      <c r="K109" s="31" t="s">
        <v>65</v>
      </c>
      <c r="L109" s="75">
        <v>109</v>
      </c>
      <c r="M109" s="75"/>
      <c r="N109" s="69"/>
      <c r="O109" s="77" t="s">
        <v>437</v>
      </c>
      <c r="P109" s="79">
        <v>45316.04657407408</v>
      </c>
      <c r="Q109" s="77" t="s">
        <v>517</v>
      </c>
      <c r="R109" s="77">
        <v>0</v>
      </c>
      <c r="S109" s="77">
        <v>3</v>
      </c>
      <c r="T109" s="77">
        <v>3</v>
      </c>
      <c r="U109" s="77">
        <v>0</v>
      </c>
      <c r="V109" s="77">
        <v>94</v>
      </c>
      <c r="W109" s="77"/>
      <c r="X109" s="77"/>
      <c r="Y109" s="77"/>
      <c r="Z109" s="77" t="s">
        <v>637</v>
      </c>
      <c r="AA109" s="77"/>
      <c r="AB109" s="77"/>
      <c r="AC109" s="81" t="s">
        <v>677</v>
      </c>
      <c r="AD109" s="77" t="s">
        <v>686</v>
      </c>
      <c r="AE109" s="83" t="str">
        <f>HYPERLINK("https://twitter.com/beautiful_str34/status/1750324372844495189")</f>
        <v>https://twitter.com/beautiful_str34/status/1750324372844495189</v>
      </c>
      <c r="AF109" s="79">
        <v>45316.04657407408</v>
      </c>
      <c r="AG109" s="85">
        <v>45316</v>
      </c>
      <c r="AH109" s="81" t="s">
        <v>762</v>
      </c>
      <c r="AI109" s="77"/>
      <c r="AJ109" s="77"/>
      <c r="AK109" s="77"/>
      <c r="AL109" s="77"/>
      <c r="AM109" s="77"/>
      <c r="AN109" s="77"/>
      <c r="AO109" s="77"/>
      <c r="AP109" s="77"/>
      <c r="AQ109" s="77"/>
      <c r="AR109" s="77"/>
      <c r="AS109" s="77"/>
      <c r="AT109" s="77"/>
      <c r="AU109" s="77"/>
      <c r="AV109" s="83" t="str">
        <f>HYPERLINK("https://pbs.twimg.com/profile_images/1688724927590080512/k9BtWP8O_normal.jpg")</f>
        <v>https://pbs.twimg.com/profile_images/1688724927590080512/k9BtWP8O_normal.jpg</v>
      </c>
      <c r="AW109" s="81" t="s">
        <v>1016</v>
      </c>
      <c r="AX109" s="81" t="s">
        <v>1119</v>
      </c>
      <c r="AY109" s="81" t="s">
        <v>1183</v>
      </c>
      <c r="AZ109" s="81" t="s">
        <v>1119</v>
      </c>
      <c r="BA109" s="81" t="s">
        <v>1210</v>
      </c>
      <c r="BB109" s="81" t="s">
        <v>1210</v>
      </c>
      <c r="BC109" s="81" t="s">
        <v>1119</v>
      </c>
      <c r="BD109" s="81" t="s">
        <v>1268</v>
      </c>
      <c r="BE109" s="77"/>
      <c r="BF109" s="77"/>
      <c r="BG109" s="77"/>
      <c r="BH109" s="77"/>
      <c r="BI109" s="77"/>
      <c r="BJ109">
        <v>1</v>
      </c>
      <c r="BK109" s="76" t="str">
        <f>REPLACE(INDEX(GroupVertices[Group],MATCH("~"&amp;Edges[[#This Row],[Vertex 1]],GroupVertices[Vertex],0)),1,1,"")</f>
        <v>5</v>
      </c>
      <c r="BL109" s="76" t="str">
        <f>REPLACE(INDEX(GroupVertices[Group],MATCH("~"&amp;Edges[[#This Row],[Vertex 2]],GroupVertices[Vertex],0)),1,1,"")</f>
        <v>5</v>
      </c>
      <c r="BM109" s="45"/>
      <c r="BN109" s="46"/>
      <c r="BO109" s="45"/>
      <c r="BP109" s="46"/>
      <c r="BQ109" s="45"/>
      <c r="BR109" s="46"/>
      <c r="BS109" s="45"/>
      <c r="BT109" s="46"/>
      <c r="BU109" s="45"/>
    </row>
    <row r="110" spans="1:73" ht="15">
      <c r="A110" s="61" t="s">
        <v>291</v>
      </c>
      <c r="B110" s="61" t="s">
        <v>401</v>
      </c>
      <c r="C110" s="62" t="s">
        <v>11652</v>
      </c>
      <c r="D110" s="63">
        <v>3</v>
      </c>
      <c r="E110" s="64" t="s">
        <v>132</v>
      </c>
      <c r="F110" s="65">
        <v>32</v>
      </c>
      <c r="G110" s="62"/>
      <c r="H110" s="66"/>
      <c r="I110" s="67"/>
      <c r="J110" s="67"/>
      <c r="K110" s="31" t="s">
        <v>65</v>
      </c>
      <c r="L110" s="75">
        <v>110</v>
      </c>
      <c r="M110" s="75"/>
      <c r="N110" s="69"/>
      <c r="O110" s="77" t="s">
        <v>437</v>
      </c>
      <c r="P110" s="79">
        <v>45316.04657407408</v>
      </c>
      <c r="Q110" s="77" t="s">
        <v>517</v>
      </c>
      <c r="R110" s="77">
        <v>0</v>
      </c>
      <c r="S110" s="77">
        <v>3</v>
      </c>
      <c r="T110" s="77">
        <v>3</v>
      </c>
      <c r="U110" s="77">
        <v>0</v>
      </c>
      <c r="V110" s="77">
        <v>94</v>
      </c>
      <c r="W110" s="77"/>
      <c r="X110" s="77"/>
      <c r="Y110" s="77"/>
      <c r="Z110" s="77" t="s">
        <v>637</v>
      </c>
      <c r="AA110" s="77"/>
      <c r="AB110" s="77"/>
      <c r="AC110" s="81" t="s">
        <v>677</v>
      </c>
      <c r="AD110" s="77" t="s">
        <v>686</v>
      </c>
      <c r="AE110" s="83" t="str">
        <f>HYPERLINK("https://twitter.com/beautiful_str34/status/1750324372844495189")</f>
        <v>https://twitter.com/beautiful_str34/status/1750324372844495189</v>
      </c>
      <c r="AF110" s="79">
        <v>45316.04657407408</v>
      </c>
      <c r="AG110" s="85">
        <v>45316</v>
      </c>
      <c r="AH110" s="81" t="s">
        <v>762</v>
      </c>
      <c r="AI110" s="77"/>
      <c r="AJ110" s="77"/>
      <c r="AK110" s="77"/>
      <c r="AL110" s="77"/>
      <c r="AM110" s="77"/>
      <c r="AN110" s="77"/>
      <c r="AO110" s="77"/>
      <c r="AP110" s="77"/>
      <c r="AQ110" s="77"/>
      <c r="AR110" s="77"/>
      <c r="AS110" s="77"/>
      <c r="AT110" s="77"/>
      <c r="AU110" s="77"/>
      <c r="AV110" s="83" t="str">
        <f>HYPERLINK("https://pbs.twimg.com/profile_images/1688724927590080512/k9BtWP8O_normal.jpg")</f>
        <v>https://pbs.twimg.com/profile_images/1688724927590080512/k9BtWP8O_normal.jpg</v>
      </c>
      <c r="AW110" s="81" t="s">
        <v>1016</v>
      </c>
      <c r="AX110" s="81" t="s">
        <v>1119</v>
      </c>
      <c r="AY110" s="81" t="s">
        <v>1183</v>
      </c>
      <c r="AZ110" s="81" t="s">
        <v>1119</v>
      </c>
      <c r="BA110" s="81" t="s">
        <v>1210</v>
      </c>
      <c r="BB110" s="81" t="s">
        <v>1210</v>
      </c>
      <c r="BC110" s="81" t="s">
        <v>1119</v>
      </c>
      <c r="BD110" s="81" t="s">
        <v>1268</v>
      </c>
      <c r="BE110" s="77"/>
      <c r="BF110" s="77"/>
      <c r="BG110" s="77"/>
      <c r="BH110" s="77"/>
      <c r="BI110" s="77"/>
      <c r="BJ110">
        <v>1</v>
      </c>
      <c r="BK110" s="76" t="str">
        <f>REPLACE(INDEX(GroupVertices[Group],MATCH("~"&amp;Edges[[#This Row],[Vertex 1]],GroupVertices[Vertex],0)),1,1,"")</f>
        <v>5</v>
      </c>
      <c r="BL110" s="76" t="str">
        <f>REPLACE(INDEX(GroupVertices[Group],MATCH("~"&amp;Edges[[#This Row],[Vertex 2]],GroupVertices[Vertex],0)),1,1,"")</f>
        <v>5</v>
      </c>
      <c r="BM110" s="45"/>
      <c r="BN110" s="46"/>
      <c r="BO110" s="45"/>
      <c r="BP110" s="46"/>
      <c r="BQ110" s="45"/>
      <c r="BR110" s="46"/>
      <c r="BS110" s="45"/>
      <c r="BT110" s="46"/>
      <c r="BU110" s="45"/>
    </row>
    <row r="111" spans="1:73" ht="15">
      <c r="A111" s="61" t="s">
        <v>291</v>
      </c>
      <c r="B111" s="61" t="s">
        <v>402</v>
      </c>
      <c r="C111" s="62" t="s">
        <v>11652</v>
      </c>
      <c r="D111" s="63">
        <v>3</v>
      </c>
      <c r="E111" s="64" t="s">
        <v>132</v>
      </c>
      <c r="F111" s="65">
        <v>32</v>
      </c>
      <c r="G111" s="62"/>
      <c r="H111" s="66"/>
      <c r="I111" s="67"/>
      <c r="J111" s="67"/>
      <c r="K111" s="31" t="s">
        <v>65</v>
      </c>
      <c r="L111" s="75">
        <v>111</v>
      </c>
      <c r="M111" s="75"/>
      <c r="N111" s="69"/>
      <c r="O111" s="77" t="s">
        <v>438</v>
      </c>
      <c r="P111" s="79">
        <v>45316.04657407408</v>
      </c>
      <c r="Q111" s="77" t="s">
        <v>517</v>
      </c>
      <c r="R111" s="77">
        <v>0</v>
      </c>
      <c r="S111" s="77">
        <v>3</v>
      </c>
      <c r="T111" s="77">
        <v>3</v>
      </c>
      <c r="U111" s="77">
        <v>0</v>
      </c>
      <c r="V111" s="77">
        <v>94</v>
      </c>
      <c r="W111" s="77"/>
      <c r="X111" s="77"/>
      <c r="Y111" s="77"/>
      <c r="Z111" s="77" t="s">
        <v>637</v>
      </c>
      <c r="AA111" s="77"/>
      <c r="AB111" s="77"/>
      <c r="AC111" s="81" t="s">
        <v>677</v>
      </c>
      <c r="AD111" s="77" t="s">
        <v>686</v>
      </c>
      <c r="AE111" s="83" t="str">
        <f>HYPERLINK("https://twitter.com/beautiful_str34/status/1750324372844495189")</f>
        <v>https://twitter.com/beautiful_str34/status/1750324372844495189</v>
      </c>
      <c r="AF111" s="79">
        <v>45316.04657407408</v>
      </c>
      <c r="AG111" s="85">
        <v>45316</v>
      </c>
      <c r="AH111" s="81" t="s">
        <v>762</v>
      </c>
      <c r="AI111" s="77"/>
      <c r="AJ111" s="77"/>
      <c r="AK111" s="77"/>
      <c r="AL111" s="77"/>
      <c r="AM111" s="77"/>
      <c r="AN111" s="77"/>
      <c r="AO111" s="77"/>
      <c r="AP111" s="77"/>
      <c r="AQ111" s="77"/>
      <c r="AR111" s="77"/>
      <c r="AS111" s="77"/>
      <c r="AT111" s="77"/>
      <c r="AU111" s="77"/>
      <c r="AV111" s="83" t="str">
        <f>HYPERLINK("https://pbs.twimg.com/profile_images/1688724927590080512/k9BtWP8O_normal.jpg")</f>
        <v>https://pbs.twimg.com/profile_images/1688724927590080512/k9BtWP8O_normal.jpg</v>
      </c>
      <c r="AW111" s="81" t="s">
        <v>1016</v>
      </c>
      <c r="AX111" s="81" t="s">
        <v>1119</v>
      </c>
      <c r="AY111" s="81" t="s">
        <v>1183</v>
      </c>
      <c r="AZ111" s="81" t="s">
        <v>1119</v>
      </c>
      <c r="BA111" s="81" t="s">
        <v>1210</v>
      </c>
      <c r="BB111" s="81" t="s">
        <v>1210</v>
      </c>
      <c r="BC111" s="81" t="s">
        <v>1119</v>
      </c>
      <c r="BD111" s="81" t="s">
        <v>1268</v>
      </c>
      <c r="BE111" s="77"/>
      <c r="BF111" s="77"/>
      <c r="BG111" s="77"/>
      <c r="BH111" s="77"/>
      <c r="BI111" s="77"/>
      <c r="BJ111">
        <v>1</v>
      </c>
      <c r="BK111" s="76" t="str">
        <f>REPLACE(INDEX(GroupVertices[Group],MATCH("~"&amp;Edges[[#This Row],[Vertex 1]],GroupVertices[Vertex],0)),1,1,"")</f>
        <v>5</v>
      </c>
      <c r="BL111" s="76" t="str">
        <f>REPLACE(INDEX(GroupVertices[Group],MATCH("~"&amp;Edges[[#This Row],[Vertex 2]],GroupVertices[Vertex],0)),1,1,"")</f>
        <v>5</v>
      </c>
      <c r="BM111" s="45">
        <v>0</v>
      </c>
      <c r="BN111" s="46">
        <v>0</v>
      </c>
      <c r="BO111" s="45">
        <v>3</v>
      </c>
      <c r="BP111" s="46">
        <v>5</v>
      </c>
      <c r="BQ111" s="45">
        <v>0</v>
      </c>
      <c r="BR111" s="46">
        <v>0</v>
      </c>
      <c r="BS111" s="45">
        <v>31</v>
      </c>
      <c r="BT111" s="46">
        <v>51.666666666666664</v>
      </c>
      <c r="BU111" s="45">
        <v>60</v>
      </c>
    </row>
    <row r="112" spans="1:73" ht="15">
      <c r="A112" s="61" t="s">
        <v>292</v>
      </c>
      <c r="B112" s="61" t="s">
        <v>292</v>
      </c>
      <c r="C112" s="62" t="s">
        <v>11652</v>
      </c>
      <c r="D112" s="63">
        <v>3</v>
      </c>
      <c r="E112" s="64" t="s">
        <v>132</v>
      </c>
      <c r="F112" s="65">
        <v>32</v>
      </c>
      <c r="G112" s="62"/>
      <c r="H112" s="66"/>
      <c r="I112" s="67"/>
      <c r="J112" s="67"/>
      <c r="K112" s="31" t="s">
        <v>65</v>
      </c>
      <c r="L112" s="75">
        <v>112</v>
      </c>
      <c r="M112" s="75"/>
      <c r="N112" s="69"/>
      <c r="O112" s="77" t="s">
        <v>178</v>
      </c>
      <c r="P112" s="79">
        <v>45313.65347222222</v>
      </c>
      <c r="Q112" s="77" t="s">
        <v>518</v>
      </c>
      <c r="R112" s="77">
        <v>2382</v>
      </c>
      <c r="S112" s="77">
        <v>12601</v>
      </c>
      <c r="T112" s="77">
        <v>98</v>
      </c>
      <c r="U112" s="77">
        <v>597</v>
      </c>
      <c r="V112" s="77">
        <v>1546335</v>
      </c>
      <c r="W112" s="77"/>
      <c r="X112" s="77"/>
      <c r="Y112" s="77"/>
      <c r="Z112" s="77"/>
      <c r="AA112" s="77" t="s">
        <v>655</v>
      </c>
      <c r="AB112" s="77" t="s">
        <v>672</v>
      </c>
      <c r="AC112" s="81" t="s">
        <v>674</v>
      </c>
      <c r="AD112" s="77" t="s">
        <v>686</v>
      </c>
      <c r="AE112" s="83" t="str">
        <f>HYPERLINK("https://twitter.com/muellershewrote/status/1749457140287479825")</f>
        <v>https://twitter.com/muellershewrote/status/1749457140287479825</v>
      </c>
      <c r="AF112" s="79">
        <v>45313.65347222222</v>
      </c>
      <c r="AG112" s="85">
        <v>45313</v>
      </c>
      <c r="AH112" s="81" t="s">
        <v>763</v>
      </c>
      <c r="AI112" s="77" t="b">
        <v>0</v>
      </c>
      <c r="AJ112" s="77"/>
      <c r="AK112" s="77"/>
      <c r="AL112" s="77"/>
      <c r="AM112" s="77"/>
      <c r="AN112" s="77"/>
      <c r="AO112" s="77"/>
      <c r="AP112" s="77"/>
      <c r="AQ112" s="77" t="s">
        <v>926</v>
      </c>
      <c r="AR112" s="77">
        <v>65080</v>
      </c>
      <c r="AS112" s="77"/>
      <c r="AT112" s="77"/>
      <c r="AU112" s="77"/>
      <c r="AV112" s="83" t="str">
        <f>HYPERLINK("https://pbs.twimg.com/ext_tw_video_thumb/1749102754260279297/pu/img/ZiNjgduFQezy14-7.jpg")</f>
        <v>https://pbs.twimg.com/ext_tw_video_thumb/1749102754260279297/pu/img/ZiNjgduFQezy14-7.jpg</v>
      </c>
      <c r="AW112" s="81" t="s">
        <v>1017</v>
      </c>
      <c r="AX112" s="81" t="s">
        <v>1017</v>
      </c>
      <c r="AY112" s="77"/>
      <c r="AZ112" s="81" t="s">
        <v>1210</v>
      </c>
      <c r="BA112" s="81" t="s">
        <v>1210</v>
      </c>
      <c r="BB112" s="81" t="s">
        <v>1210</v>
      </c>
      <c r="BC112" s="81" t="s">
        <v>1017</v>
      </c>
      <c r="BD112" s="81" t="s">
        <v>1269</v>
      </c>
      <c r="BE112" s="77"/>
      <c r="BF112" s="77"/>
      <c r="BG112" s="77"/>
      <c r="BH112" s="77"/>
      <c r="BI112" s="77"/>
      <c r="BJ112">
        <v>1</v>
      </c>
      <c r="BK112" s="76" t="str">
        <f>REPLACE(INDEX(GroupVertices[Group],MATCH("~"&amp;Edges[[#This Row],[Vertex 1]],GroupVertices[Vertex],0)),1,1,"")</f>
        <v>42</v>
      </c>
      <c r="BL112" s="76" t="str">
        <f>REPLACE(INDEX(GroupVertices[Group],MATCH("~"&amp;Edges[[#This Row],[Vertex 2]],GroupVertices[Vertex],0)),1,1,"")</f>
        <v>42</v>
      </c>
      <c r="BM112" s="45">
        <v>1</v>
      </c>
      <c r="BN112" s="46">
        <v>8.333333333333334</v>
      </c>
      <c r="BO112" s="45">
        <v>1</v>
      </c>
      <c r="BP112" s="46">
        <v>8.333333333333334</v>
      </c>
      <c r="BQ112" s="45">
        <v>0</v>
      </c>
      <c r="BR112" s="46">
        <v>0</v>
      </c>
      <c r="BS112" s="45">
        <v>5</v>
      </c>
      <c r="BT112" s="46">
        <v>41.666666666666664</v>
      </c>
      <c r="BU112" s="45">
        <v>12</v>
      </c>
    </row>
    <row r="113" spans="1:73" ht="15">
      <c r="A113" s="61" t="s">
        <v>293</v>
      </c>
      <c r="B113" s="61" t="s">
        <v>292</v>
      </c>
      <c r="C113" s="62" t="s">
        <v>11652</v>
      </c>
      <c r="D113" s="63">
        <v>3</v>
      </c>
      <c r="E113" s="64" t="s">
        <v>132</v>
      </c>
      <c r="F113" s="65">
        <v>32</v>
      </c>
      <c r="G113" s="62"/>
      <c r="H113" s="66"/>
      <c r="I113" s="67"/>
      <c r="J113" s="67"/>
      <c r="K113" s="31" t="s">
        <v>65</v>
      </c>
      <c r="L113" s="75">
        <v>113</v>
      </c>
      <c r="M113" s="75"/>
      <c r="N113" s="69"/>
      <c r="O113" s="77" t="s">
        <v>439</v>
      </c>
      <c r="P113" s="79">
        <v>45313.7950462963</v>
      </c>
      <c r="Q113" s="77" t="s">
        <v>519</v>
      </c>
      <c r="R113" s="77">
        <v>0</v>
      </c>
      <c r="S113" s="77">
        <v>0</v>
      </c>
      <c r="T113" s="77">
        <v>0</v>
      </c>
      <c r="U113" s="77">
        <v>0</v>
      </c>
      <c r="V113" s="77">
        <v>119</v>
      </c>
      <c r="W113" s="77"/>
      <c r="X113" s="77"/>
      <c r="Y113" s="77"/>
      <c r="Z113" s="77"/>
      <c r="AA113" s="77" t="s">
        <v>656</v>
      </c>
      <c r="AB113" s="77" t="s">
        <v>670</v>
      </c>
      <c r="AC113" s="81" t="s">
        <v>677</v>
      </c>
      <c r="AD113" s="77" t="s">
        <v>686</v>
      </c>
      <c r="AE113" s="83" t="str">
        <f>HYPERLINK("https://twitter.com/murray_tim/status/1749508447631208808")</f>
        <v>https://twitter.com/murray_tim/status/1749508447631208808</v>
      </c>
      <c r="AF113" s="79">
        <v>45313.7950462963</v>
      </c>
      <c r="AG113" s="85">
        <v>45313</v>
      </c>
      <c r="AH113" s="81" t="s">
        <v>764</v>
      </c>
      <c r="AI113" s="77" t="b">
        <v>0</v>
      </c>
      <c r="AJ113" s="77"/>
      <c r="AK113" s="77"/>
      <c r="AL113" s="77"/>
      <c r="AM113" s="77"/>
      <c r="AN113" s="77"/>
      <c r="AO113" s="77"/>
      <c r="AP113" s="77"/>
      <c r="AQ113" s="77" t="s">
        <v>927</v>
      </c>
      <c r="AR113" s="77"/>
      <c r="AS113" s="77"/>
      <c r="AT113" s="77"/>
      <c r="AU113" s="77"/>
      <c r="AV113" s="83" t="str">
        <f>HYPERLINK("https://pbs.twimg.com/tweet_video_thumb/GEeAqJRa4AITn77.jpg")</f>
        <v>https://pbs.twimg.com/tweet_video_thumb/GEeAqJRa4AITn77.jpg</v>
      </c>
      <c r="AW113" s="81" t="s">
        <v>1018</v>
      </c>
      <c r="AX113" s="81" t="s">
        <v>1018</v>
      </c>
      <c r="AY113" s="77"/>
      <c r="AZ113" s="81" t="s">
        <v>1210</v>
      </c>
      <c r="BA113" s="81" t="s">
        <v>1017</v>
      </c>
      <c r="BB113" s="81" t="s">
        <v>1210</v>
      </c>
      <c r="BC113" s="81" t="s">
        <v>1017</v>
      </c>
      <c r="BD113" s="77">
        <v>307536357</v>
      </c>
      <c r="BE113" s="77"/>
      <c r="BF113" s="77"/>
      <c r="BG113" s="77"/>
      <c r="BH113" s="77"/>
      <c r="BI113" s="77"/>
      <c r="BJ113">
        <v>1</v>
      </c>
      <c r="BK113" s="76" t="str">
        <f>REPLACE(INDEX(GroupVertices[Group],MATCH("~"&amp;Edges[[#This Row],[Vertex 1]],GroupVertices[Vertex],0)),1,1,"")</f>
        <v>42</v>
      </c>
      <c r="BL113" s="76" t="str">
        <f>REPLACE(INDEX(GroupVertices[Group],MATCH("~"&amp;Edges[[#This Row],[Vertex 2]],GroupVertices[Vertex],0)),1,1,"")</f>
        <v>42</v>
      </c>
      <c r="BM113" s="45">
        <v>0</v>
      </c>
      <c r="BN113" s="46">
        <v>0</v>
      </c>
      <c r="BO113" s="45">
        <v>2</v>
      </c>
      <c r="BP113" s="46">
        <v>9.523809523809524</v>
      </c>
      <c r="BQ113" s="45">
        <v>0</v>
      </c>
      <c r="BR113" s="46">
        <v>0</v>
      </c>
      <c r="BS113" s="45">
        <v>7</v>
      </c>
      <c r="BT113" s="46">
        <v>33.333333333333336</v>
      </c>
      <c r="BU113" s="45">
        <v>21</v>
      </c>
    </row>
    <row r="114" spans="1:73" ht="15">
      <c r="A114" s="61" t="s">
        <v>294</v>
      </c>
      <c r="B114" s="61" t="s">
        <v>294</v>
      </c>
      <c r="C114" s="62" t="s">
        <v>11652</v>
      </c>
      <c r="D114" s="63">
        <v>3</v>
      </c>
      <c r="E114" s="64" t="s">
        <v>132</v>
      </c>
      <c r="F114" s="65">
        <v>32</v>
      </c>
      <c r="G114" s="62"/>
      <c r="H114" s="66"/>
      <c r="I114" s="67"/>
      <c r="J114" s="67"/>
      <c r="K114" s="31" t="s">
        <v>65</v>
      </c>
      <c r="L114" s="75">
        <v>114</v>
      </c>
      <c r="M114" s="75"/>
      <c r="N114" s="69"/>
      <c r="O114" s="77" t="s">
        <v>178</v>
      </c>
      <c r="P114" s="79">
        <v>45021.59611111111</v>
      </c>
      <c r="Q114" s="77" t="s">
        <v>520</v>
      </c>
      <c r="R114" s="77">
        <v>27</v>
      </c>
      <c r="S114" s="77">
        <v>139</v>
      </c>
      <c r="T114" s="77">
        <v>3</v>
      </c>
      <c r="U114" s="77">
        <v>3</v>
      </c>
      <c r="V114" s="77">
        <v>14868</v>
      </c>
      <c r="W114" s="77"/>
      <c r="X114" s="77"/>
      <c r="Y114" s="77"/>
      <c r="Z114" s="77"/>
      <c r="AA114" s="77" t="s">
        <v>657</v>
      </c>
      <c r="AB114" s="77" t="s">
        <v>672</v>
      </c>
      <c r="AC114" s="81" t="s">
        <v>674</v>
      </c>
      <c r="AD114" s="77" t="s">
        <v>686</v>
      </c>
      <c r="AE114" s="83" t="str">
        <f>HYPERLINK("https://twitter.com/weatherjefe/status/1643619095886155778")</f>
        <v>https://twitter.com/weatherjefe/status/1643619095886155778</v>
      </c>
      <c r="AF114" s="79">
        <v>45021.59611111111</v>
      </c>
      <c r="AG114" s="85">
        <v>45021</v>
      </c>
      <c r="AH114" s="81" t="s">
        <v>765</v>
      </c>
      <c r="AI114" s="77" t="b">
        <v>0</v>
      </c>
      <c r="AJ114" s="77" t="s">
        <v>837</v>
      </c>
      <c r="AK114" s="77" t="s">
        <v>849</v>
      </c>
      <c r="AL114" s="77" t="s">
        <v>850</v>
      </c>
      <c r="AM114" s="77" t="s">
        <v>861</v>
      </c>
      <c r="AN114" s="77" t="s">
        <v>883</v>
      </c>
      <c r="AO114" s="77" t="s">
        <v>905</v>
      </c>
      <c r="AP114" s="77" t="s">
        <v>917</v>
      </c>
      <c r="AQ114" s="77" t="s">
        <v>928</v>
      </c>
      <c r="AR114" s="77">
        <v>18685</v>
      </c>
      <c r="AS114" s="77"/>
      <c r="AT114" s="77"/>
      <c r="AU114" s="77"/>
      <c r="AV114" s="83" t="str">
        <f>HYPERLINK("https://pbs.twimg.com/ext_tw_video_thumb/1643618784517783552/pu/img/qqNNm1pSdXRmZGpt.jpg")</f>
        <v>https://pbs.twimg.com/ext_tw_video_thumb/1643618784517783552/pu/img/qqNNm1pSdXRmZGpt.jpg</v>
      </c>
      <c r="AW114" s="81" t="s">
        <v>1019</v>
      </c>
      <c r="AX114" s="81" t="s">
        <v>1019</v>
      </c>
      <c r="AY114" s="77"/>
      <c r="AZ114" s="81" t="s">
        <v>1210</v>
      </c>
      <c r="BA114" s="81" t="s">
        <v>1210</v>
      </c>
      <c r="BB114" s="81" t="s">
        <v>1210</v>
      </c>
      <c r="BC114" s="81" t="s">
        <v>1019</v>
      </c>
      <c r="BD114" s="77">
        <v>46821352</v>
      </c>
      <c r="BE114" s="77"/>
      <c r="BF114" s="77"/>
      <c r="BG114" s="77"/>
      <c r="BH114" s="77"/>
      <c r="BI114" s="77"/>
      <c r="BJ114">
        <v>1</v>
      </c>
      <c r="BK114" s="76" t="str">
        <f>REPLACE(INDEX(GroupVertices[Group],MATCH("~"&amp;Edges[[#This Row],[Vertex 1]],GroupVertices[Vertex],0)),1,1,"")</f>
        <v>48</v>
      </c>
      <c r="BL114" s="76" t="str">
        <f>REPLACE(INDEX(GroupVertices[Group],MATCH("~"&amp;Edges[[#This Row],[Vertex 2]],GroupVertices[Vertex],0)),1,1,"")</f>
        <v>48</v>
      </c>
      <c r="BM114" s="45">
        <v>0</v>
      </c>
      <c r="BN114" s="46">
        <v>0</v>
      </c>
      <c r="BO114" s="45">
        <v>1</v>
      </c>
      <c r="BP114" s="46">
        <v>2</v>
      </c>
      <c r="BQ114" s="45">
        <v>0</v>
      </c>
      <c r="BR114" s="46">
        <v>0</v>
      </c>
      <c r="BS114" s="45">
        <v>26</v>
      </c>
      <c r="BT114" s="46">
        <v>52</v>
      </c>
      <c r="BU114" s="45">
        <v>50</v>
      </c>
    </row>
    <row r="115" spans="1:73" ht="15">
      <c r="A115" s="61" t="s">
        <v>295</v>
      </c>
      <c r="B115" s="61" t="s">
        <v>305</v>
      </c>
      <c r="C115" s="62" t="s">
        <v>11652</v>
      </c>
      <c r="D115" s="63">
        <v>3</v>
      </c>
      <c r="E115" s="64" t="s">
        <v>132</v>
      </c>
      <c r="F115" s="65">
        <v>32</v>
      </c>
      <c r="G115" s="62"/>
      <c r="H115" s="66"/>
      <c r="I115" s="67"/>
      <c r="J115" s="67"/>
      <c r="K115" s="31" t="s">
        <v>65</v>
      </c>
      <c r="L115" s="75">
        <v>115</v>
      </c>
      <c r="M115" s="75"/>
      <c r="N115" s="69"/>
      <c r="O115" s="77" t="s">
        <v>439</v>
      </c>
      <c r="P115" s="79">
        <v>45044.825636574074</v>
      </c>
      <c r="Q115" s="77" t="s">
        <v>521</v>
      </c>
      <c r="R115" s="77">
        <v>0</v>
      </c>
      <c r="S115" s="77">
        <v>0</v>
      </c>
      <c r="T115" s="77">
        <v>0</v>
      </c>
      <c r="U115" s="77">
        <v>0</v>
      </c>
      <c r="V115" s="77">
        <v>40</v>
      </c>
      <c r="W115" s="81" t="s">
        <v>591</v>
      </c>
      <c r="X115" s="77"/>
      <c r="Y115" s="77"/>
      <c r="Z115" s="77"/>
      <c r="AA115" s="77"/>
      <c r="AB115" s="77"/>
      <c r="AC115" s="81" t="s">
        <v>674</v>
      </c>
      <c r="AD115" s="77" t="s">
        <v>686</v>
      </c>
      <c r="AE115" s="83" t="str">
        <f>HYPERLINK("https://twitter.com/dedevotesblue/status/1652037196151681025")</f>
        <v>https://twitter.com/dedevotesblue/status/1652037196151681025</v>
      </c>
      <c r="AF115" s="79">
        <v>45044.825636574074</v>
      </c>
      <c r="AG115" s="85">
        <v>45044</v>
      </c>
      <c r="AH115" s="81" t="s">
        <v>766</v>
      </c>
      <c r="AI115" s="77"/>
      <c r="AJ115" s="77" t="s">
        <v>842</v>
      </c>
      <c r="AK115" s="77" t="s">
        <v>849</v>
      </c>
      <c r="AL115" s="77" t="s">
        <v>850</v>
      </c>
      <c r="AM115" s="77" t="s">
        <v>866</v>
      </c>
      <c r="AN115" s="77" t="s">
        <v>888</v>
      </c>
      <c r="AO115" s="77" t="s">
        <v>910</v>
      </c>
      <c r="AP115" s="77" t="s">
        <v>917</v>
      </c>
      <c r="AQ115" s="77"/>
      <c r="AR115" s="77"/>
      <c r="AS115" s="77"/>
      <c r="AT115" s="77"/>
      <c r="AU115" s="77"/>
      <c r="AV115" s="83" t="str">
        <f>HYPERLINK("https://pbs.twimg.com/profile_images/1718830424208683008/6Oi7cFrY_normal.jpg")</f>
        <v>https://pbs.twimg.com/profile_images/1718830424208683008/6Oi7cFrY_normal.jpg</v>
      </c>
      <c r="AW115" s="81" t="s">
        <v>1020</v>
      </c>
      <c r="AX115" s="81" t="s">
        <v>1020</v>
      </c>
      <c r="AY115" s="77"/>
      <c r="AZ115" s="81" t="s">
        <v>1210</v>
      </c>
      <c r="BA115" s="81" t="s">
        <v>1030</v>
      </c>
      <c r="BB115" s="81" t="s">
        <v>1210</v>
      </c>
      <c r="BC115" s="81" t="s">
        <v>1030</v>
      </c>
      <c r="BD115" s="77">
        <v>1454713914</v>
      </c>
      <c r="BE115" s="77"/>
      <c r="BF115" s="77"/>
      <c r="BG115" s="77"/>
      <c r="BH115" s="77"/>
      <c r="BI115" s="77"/>
      <c r="BJ115">
        <v>1</v>
      </c>
      <c r="BK115" s="76" t="str">
        <f>REPLACE(INDEX(GroupVertices[Group],MATCH("~"&amp;Edges[[#This Row],[Vertex 1]],GroupVertices[Vertex],0)),1,1,"")</f>
        <v>41</v>
      </c>
      <c r="BL115" s="76" t="str">
        <f>REPLACE(INDEX(GroupVertices[Group],MATCH("~"&amp;Edges[[#This Row],[Vertex 2]],GroupVertices[Vertex],0)),1,1,"")</f>
        <v>41</v>
      </c>
      <c r="BM115" s="45">
        <v>0</v>
      </c>
      <c r="BN115" s="46">
        <v>0</v>
      </c>
      <c r="BO115" s="45">
        <v>2</v>
      </c>
      <c r="BP115" s="46">
        <v>15.384615384615385</v>
      </c>
      <c r="BQ115" s="45">
        <v>0</v>
      </c>
      <c r="BR115" s="46">
        <v>0</v>
      </c>
      <c r="BS115" s="45">
        <v>4</v>
      </c>
      <c r="BT115" s="46">
        <v>30.76923076923077</v>
      </c>
      <c r="BU115" s="45">
        <v>13</v>
      </c>
    </row>
    <row r="116" spans="1:73" ht="15">
      <c r="A116" s="61" t="s">
        <v>296</v>
      </c>
      <c r="B116" s="61" t="s">
        <v>403</v>
      </c>
      <c r="C116" s="62" t="s">
        <v>11652</v>
      </c>
      <c r="D116" s="63">
        <v>3</v>
      </c>
      <c r="E116" s="64" t="s">
        <v>132</v>
      </c>
      <c r="F116" s="65">
        <v>32</v>
      </c>
      <c r="G116" s="62"/>
      <c r="H116" s="66"/>
      <c r="I116" s="67"/>
      <c r="J116" s="67"/>
      <c r="K116" s="31" t="s">
        <v>65</v>
      </c>
      <c r="L116" s="75">
        <v>116</v>
      </c>
      <c r="M116" s="75"/>
      <c r="N116" s="69"/>
      <c r="O116" s="77" t="s">
        <v>438</v>
      </c>
      <c r="P116" s="79">
        <v>45176.610601851855</v>
      </c>
      <c r="Q116" s="77" t="s">
        <v>522</v>
      </c>
      <c r="R116" s="77">
        <v>1</v>
      </c>
      <c r="S116" s="77">
        <v>1</v>
      </c>
      <c r="T116" s="77">
        <v>1</v>
      </c>
      <c r="U116" s="77">
        <v>0</v>
      </c>
      <c r="V116" s="77">
        <v>18</v>
      </c>
      <c r="W116" s="77"/>
      <c r="X116" s="77"/>
      <c r="Y116" s="77"/>
      <c r="Z116" s="77" t="s">
        <v>403</v>
      </c>
      <c r="AA116" s="77"/>
      <c r="AB116" s="77"/>
      <c r="AC116" s="81" t="s">
        <v>677</v>
      </c>
      <c r="AD116" s="77" t="s">
        <v>686</v>
      </c>
      <c r="AE116" s="83" t="str">
        <f>HYPERLINK("https://twitter.com/vanhopecomedy/status/1699794466289353190")</f>
        <v>https://twitter.com/vanhopecomedy/status/1699794466289353190</v>
      </c>
      <c r="AF116" s="79">
        <v>45176.610601851855</v>
      </c>
      <c r="AG116" s="85">
        <v>45176</v>
      </c>
      <c r="AH116" s="81" t="s">
        <v>767</v>
      </c>
      <c r="AI116" s="77"/>
      <c r="AJ116" s="77" t="s">
        <v>828</v>
      </c>
      <c r="AK116" s="77" t="s">
        <v>849</v>
      </c>
      <c r="AL116" s="77" t="s">
        <v>850</v>
      </c>
      <c r="AM116" s="77" t="s">
        <v>852</v>
      </c>
      <c r="AN116" s="77" t="s">
        <v>874</v>
      </c>
      <c r="AO116" s="77" t="s">
        <v>896</v>
      </c>
      <c r="AP116" s="77" t="s">
        <v>917</v>
      </c>
      <c r="AQ116" s="77"/>
      <c r="AR116" s="77"/>
      <c r="AS116" s="77"/>
      <c r="AT116" s="77"/>
      <c r="AU116" s="77"/>
      <c r="AV116" s="83" t="str">
        <f>HYPERLINK("https://pbs.twimg.com/profile_images/1750247463125147648/0O2pv1Ps_normal.jpg")</f>
        <v>https://pbs.twimg.com/profile_images/1750247463125147648/0O2pv1Ps_normal.jpg</v>
      </c>
      <c r="AW116" s="81" t="s">
        <v>1021</v>
      </c>
      <c r="AX116" s="81" t="s">
        <v>1120</v>
      </c>
      <c r="AY116" s="81" t="s">
        <v>1184</v>
      </c>
      <c r="AZ116" s="81" t="s">
        <v>1120</v>
      </c>
      <c r="BA116" s="81" t="s">
        <v>1210</v>
      </c>
      <c r="BB116" s="81" t="s">
        <v>1210</v>
      </c>
      <c r="BC116" s="81" t="s">
        <v>1120</v>
      </c>
      <c r="BD116" s="81" t="s">
        <v>1270</v>
      </c>
      <c r="BE116" s="77"/>
      <c r="BF116" s="77"/>
      <c r="BG116" s="77"/>
      <c r="BH116" s="77"/>
      <c r="BI116" s="77"/>
      <c r="BJ116">
        <v>1</v>
      </c>
      <c r="BK116" s="76" t="str">
        <f>REPLACE(INDEX(GroupVertices[Group],MATCH("~"&amp;Edges[[#This Row],[Vertex 1]],GroupVertices[Vertex],0)),1,1,"")</f>
        <v>40</v>
      </c>
      <c r="BL116" s="76" t="str">
        <f>REPLACE(INDEX(GroupVertices[Group],MATCH("~"&amp;Edges[[#This Row],[Vertex 2]],GroupVertices[Vertex],0)),1,1,"")</f>
        <v>40</v>
      </c>
      <c r="BM116" s="45">
        <v>1</v>
      </c>
      <c r="BN116" s="46">
        <v>4.3478260869565215</v>
      </c>
      <c r="BO116" s="45">
        <v>1</v>
      </c>
      <c r="BP116" s="46">
        <v>4.3478260869565215</v>
      </c>
      <c r="BQ116" s="45">
        <v>0</v>
      </c>
      <c r="BR116" s="46">
        <v>0</v>
      </c>
      <c r="BS116" s="45">
        <v>9</v>
      </c>
      <c r="BT116" s="46">
        <v>39.130434782608695</v>
      </c>
      <c r="BU116" s="45">
        <v>23</v>
      </c>
    </row>
    <row r="117" spans="1:73" ht="15">
      <c r="A117" s="61" t="s">
        <v>297</v>
      </c>
      <c r="B117" s="61" t="s">
        <v>404</v>
      </c>
      <c r="C117" s="62" t="s">
        <v>11652</v>
      </c>
      <c r="D117" s="63">
        <v>3</v>
      </c>
      <c r="E117" s="64" t="s">
        <v>132</v>
      </c>
      <c r="F117" s="65">
        <v>32</v>
      </c>
      <c r="G117" s="62"/>
      <c r="H117" s="66"/>
      <c r="I117" s="67"/>
      <c r="J117" s="67"/>
      <c r="K117" s="31" t="s">
        <v>65</v>
      </c>
      <c r="L117" s="75">
        <v>117</v>
      </c>
      <c r="M117" s="75"/>
      <c r="N117" s="69"/>
      <c r="O117" s="77" t="s">
        <v>438</v>
      </c>
      <c r="P117" s="79">
        <v>45314.781875</v>
      </c>
      <c r="Q117" s="77" t="s">
        <v>523</v>
      </c>
      <c r="R117" s="77">
        <v>0</v>
      </c>
      <c r="S117" s="77">
        <v>1</v>
      </c>
      <c r="T117" s="77">
        <v>0</v>
      </c>
      <c r="U117" s="77">
        <v>0</v>
      </c>
      <c r="V117" s="77">
        <v>50</v>
      </c>
      <c r="W117" s="77"/>
      <c r="X117" s="77"/>
      <c r="Y117" s="77"/>
      <c r="Z117" s="77" t="s">
        <v>404</v>
      </c>
      <c r="AA117" s="77"/>
      <c r="AB117" s="77"/>
      <c r="AC117" s="81" t="s">
        <v>674</v>
      </c>
      <c r="AD117" s="77" t="s">
        <v>686</v>
      </c>
      <c r="AE117" s="83" t="str">
        <f>HYPERLINK("https://twitter.com/foeayem/status/1749866062722809880")</f>
        <v>https://twitter.com/foeayem/status/1749866062722809880</v>
      </c>
      <c r="AF117" s="79">
        <v>45314.781875</v>
      </c>
      <c r="AG117" s="85">
        <v>45314</v>
      </c>
      <c r="AH117" s="81" t="s">
        <v>768</v>
      </c>
      <c r="AI117" s="77"/>
      <c r="AJ117" s="77"/>
      <c r="AK117" s="77"/>
      <c r="AL117" s="77"/>
      <c r="AM117" s="77"/>
      <c r="AN117" s="77"/>
      <c r="AO117" s="77"/>
      <c r="AP117" s="77"/>
      <c r="AQ117" s="77"/>
      <c r="AR117" s="77"/>
      <c r="AS117" s="77"/>
      <c r="AT117" s="77"/>
      <c r="AU117" s="77"/>
      <c r="AV117" s="83" t="str">
        <f>HYPERLINK("https://pbs.twimg.com/profile_images/1575315701489074176/GN-uNm0m_normal.jpg")</f>
        <v>https://pbs.twimg.com/profile_images/1575315701489074176/GN-uNm0m_normal.jpg</v>
      </c>
      <c r="AW117" s="81" t="s">
        <v>1022</v>
      </c>
      <c r="AX117" s="81" t="s">
        <v>1121</v>
      </c>
      <c r="AY117" s="81" t="s">
        <v>1185</v>
      </c>
      <c r="AZ117" s="81" t="s">
        <v>1121</v>
      </c>
      <c r="BA117" s="81" t="s">
        <v>1210</v>
      </c>
      <c r="BB117" s="81" t="s">
        <v>1210</v>
      </c>
      <c r="BC117" s="81" t="s">
        <v>1121</v>
      </c>
      <c r="BD117" s="81" t="s">
        <v>1271</v>
      </c>
      <c r="BE117" s="77"/>
      <c r="BF117" s="77"/>
      <c r="BG117" s="77"/>
      <c r="BH117" s="77"/>
      <c r="BI117" s="77"/>
      <c r="BJ117">
        <v>1</v>
      </c>
      <c r="BK117" s="76" t="str">
        <f>REPLACE(INDEX(GroupVertices[Group],MATCH("~"&amp;Edges[[#This Row],[Vertex 1]],GroupVertices[Vertex],0)),1,1,"")</f>
        <v>39</v>
      </c>
      <c r="BL117" s="76" t="str">
        <f>REPLACE(INDEX(GroupVertices[Group],MATCH("~"&amp;Edges[[#This Row],[Vertex 2]],GroupVertices[Vertex],0)),1,1,"")</f>
        <v>39</v>
      </c>
      <c r="BM117" s="45">
        <v>0</v>
      </c>
      <c r="BN117" s="46">
        <v>0</v>
      </c>
      <c r="BO117" s="45">
        <v>4</v>
      </c>
      <c r="BP117" s="46">
        <v>14.814814814814815</v>
      </c>
      <c r="BQ117" s="45">
        <v>0</v>
      </c>
      <c r="BR117" s="46">
        <v>0</v>
      </c>
      <c r="BS117" s="45">
        <v>13</v>
      </c>
      <c r="BT117" s="46">
        <v>48.148148148148145</v>
      </c>
      <c r="BU117" s="45">
        <v>27</v>
      </c>
    </row>
    <row r="118" spans="1:73" ht="15">
      <c r="A118" s="61" t="s">
        <v>298</v>
      </c>
      <c r="B118" s="61" t="s">
        <v>298</v>
      </c>
      <c r="C118" s="62" t="s">
        <v>11652</v>
      </c>
      <c r="D118" s="63">
        <v>3</v>
      </c>
      <c r="E118" s="64" t="s">
        <v>132</v>
      </c>
      <c r="F118" s="65">
        <v>32</v>
      </c>
      <c r="G118" s="62"/>
      <c r="H118" s="66"/>
      <c r="I118" s="67"/>
      <c r="J118" s="67"/>
      <c r="K118" s="31" t="s">
        <v>65</v>
      </c>
      <c r="L118" s="75">
        <v>118</v>
      </c>
      <c r="M118" s="75"/>
      <c r="N118" s="69"/>
      <c r="O118" s="77" t="s">
        <v>178</v>
      </c>
      <c r="P118" s="79">
        <v>45308.96467592593</v>
      </c>
      <c r="Q118" s="77" t="s">
        <v>524</v>
      </c>
      <c r="R118" s="77">
        <v>19</v>
      </c>
      <c r="S118" s="77">
        <v>119</v>
      </c>
      <c r="T118" s="77">
        <v>8</v>
      </c>
      <c r="U118" s="77">
        <v>2</v>
      </c>
      <c r="V118" s="77">
        <v>1788</v>
      </c>
      <c r="W118" s="77"/>
      <c r="X118" s="83" t="str">
        <f>HYPERLINK("https://bit.ly/3SbbYbm")</f>
        <v>https://bit.ly/3SbbYbm</v>
      </c>
      <c r="Y118" s="77" t="s">
        <v>612</v>
      </c>
      <c r="Z118" s="77"/>
      <c r="AA118" s="77" t="s">
        <v>658</v>
      </c>
      <c r="AB118" s="77" t="s">
        <v>671</v>
      </c>
      <c r="AC118" s="81" t="s">
        <v>681</v>
      </c>
      <c r="AD118" s="77" t="s">
        <v>686</v>
      </c>
      <c r="AE118" s="83" t="str">
        <f>HYPERLINK("https://twitter.com/smithtootie/status/1747757980383121613")</f>
        <v>https://twitter.com/smithtootie/status/1747757980383121613</v>
      </c>
      <c r="AF118" s="79">
        <v>45308.96467592593</v>
      </c>
      <c r="AG118" s="85">
        <v>45308</v>
      </c>
      <c r="AH118" s="81" t="s">
        <v>769</v>
      </c>
      <c r="AI118" s="77" t="b">
        <v>0</v>
      </c>
      <c r="AJ118" s="77"/>
      <c r="AK118" s="77"/>
      <c r="AL118" s="77"/>
      <c r="AM118" s="77"/>
      <c r="AN118" s="77"/>
      <c r="AO118" s="77"/>
      <c r="AP118" s="77"/>
      <c r="AQ118" s="77" t="s">
        <v>929</v>
      </c>
      <c r="AR118" s="77"/>
      <c r="AS118" s="77"/>
      <c r="AT118" s="77"/>
      <c r="AU118" s="77"/>
      <c r="AV118" s="83" t="str">
        <f>HYPERLINK("https://pbs.twimg.com/media/GEFInvDXgAAmbsy.jpg")</f>
        <v>https://pbs.twimg.com/media/GEFInvDXgAAmbsy.jpg</v>
      </c>
      <c r="AW118" s="81" t="s">
        <v>1023</v>
      </c>
      <c r="AX118" s="81" t="s">
        <v>1023</v>
      </c>
      <c r="AY118" s="77"/>
      <c r="AZ118" s="81" t="s">
        <v>1210</v>
      </c>
      <c r="BA118" s="81" t="s">
        <v>1210</v>
      </c>
      <c r="BB118" s="81" t="s">
        <v>1210</v>
      </c>
      <c r="BC118" s="81" t="s">
        <v>1023</v>
      </c>
      <c r="BD118" s="77">
        <v>296937534</v>
      </c>
      <c r="BE118" s="77"/>
      <c r="BF118" s="77"/>
      <c r="BG118" s="77"/>
      <c r="BH118" s="77"/>
      <c r="BI118" s="77"/>
      <c r="BJ118">
        <v>1</v>
      </c>
      <c r="BK118" s="76" t="str">
        <f>REPLACE(INDEX(GroupVertices[Group],MATCH("~"&amp;Edges[[#This Row],[Vertex 1]],GroupVertices[Vertex],0)),1,1,"")</f>
        <v>2</v>
      </c>
      <c r="BL118" s="76" t="str">
        <f>REPLACE(INDEX(GroupVertices[Group],MATCH("~"&amp;Edges[[#This Row],[Vertex 2]],GroupVertices[Vertex],0)),1,1,"")</f>
        <v>2</v>
      </c>
      <c r="BM118" s="45">
        <v>2</v>
      </c>
      <c r="BN118" s="46">
        <v>6.0606060606060606</v>
      </c>
      <c r="BO118" s="45">
        <v>1</v>
      </c>
      <c r="BP118" s="46">
        <v>3.0303030303030303</v>
      </c>
      <c r="BQ118" s="45">
        <v>0</v>
      </c>
      <c r="BR118" s="46">
        <v>0</v>
      </c>
      <c r="BS118" s="45">
        <v>12</v>
      </c>
      <c r="BT118" s="46">
        <v>36.36363636363637</v>
      </c>
      <c r="BU118" s="45">
        <v>33</v>
      </c>
    </row>
    <row r="119" spans="1:73" ht="15">
      <c r="A119" s="61" t="s">
        <v>299</v>
      </c>
      <c r="B119" s="61" t="s">
        <v>299</v>
      </c>
      <c r="C119" s="62" t="s">
        <v>11652</v>
      </c>
      <c r="D119" s="63">
        <v>3</v>
      </c>
      <c r="E119" s="64" t="s">
        <v>132</v>
      </c>
      <c r="F119" s="65">
        <v>32</v>
      </c>
      <c r="G119" s="62"/>
      <c r="H119" s="66"/>
      <c r="I119" s="67"/>
      <c r="J119" s="67"/>
      <c r="K119" s="31" t="s">
        <v>65</v>
      </c>
      <c r="L119" s="75">
        <v>119</v>
      </c>
      <c r="M119" s="75"/>
      <c r="N119" s="69"/>
      <c r="O119" s="77" t="s">
        <v>178</v>
      </c>
      <c r="P119" s="79">
        <v>44992.46061342592</v>
      </c>
      <c r="Q119" s="77" t="s">
        <v>525</v>
      </c>
      <c r="R119" s="77">
        <v>0</v>
      </c>
      <c r="S119" s="77">
        <v>0</v>
      </c>
      <c r="T119" s="77">
        <v>0</v>
      </c>
      <c r="U119" s="77">
        <v>0</v>
      </c>
      <c r="V119" s="77">
        <v>74</v>
      </c>
      <c r="W119" s="77"/>
      <c r="X119" s="77"/>
      <c r="Y119" s="77"/>
      <c r="Z119" s="77"/>
      <c r="AA119" s="77"/>
      <c r="AB119" s="77"/>
      <c r="AC119" s="81" t="s">
        <v>674</v>
      </c>
      <c r="AD119" s="77" t="s">
        <v>686</v>
      </c>
      <c r="AE119" s="83" t="str">
        <f>HYPERLINK("https://twitter.com/anmolrightnow/status/1633060745029246977")</f>
        <v>https://twitter.com/anmolrightnow/status/1633060745029246977</v>
      </c>
      <c r="AF119" s="79">
        <v>44992.46061342592</v>
      </c>
      <c r="AG119" s="85">
        <v>44992</v>
      </c>
      <c r="AH119" s="81" t="s">
        <v>770</v>
      </c>
      <c r="AI119" s="77"/>
      <c r="AJ119" s="77" t="s">
        <v>828</v>
      </c>
      <c r="AK119" s="77" t="s">
        <v>849</v>
      </c>
      <c r="AL119" s="77" t="s">
        <v>850</v>
      </c>
      <c r="AM119" s="77" t="s">
        <v>852</v>
      </c>
      <c r="AN119" s="77" t="s">
        <v>874</v>
      </c>
      <c r="AO119" s="77" t="s">
        <v>896</v>
      </c>
      <c r="AP119" s="77" t="s">
        <v>917</v>
      </c>
      <c r="AQ119" s="77"/>
      <c r="AR119" s="77"/>
      <c r="AS119" s="77"/>
      <c r="AT119" s="77"/>
      <c r="AU119" s="77"/>
      <c r="AV119" s="83" t="str">
        <f>HYPERLINK("https://pbs.twimg.com/profile_images/1692529067894112256/zxhTLwSr_normal.jpg")</f>
        <v>https://pbs.twimg.com/profile_images/1692529067894112256/zxhTLwSr_normal.jpg</v>
      </c>
      <c r="AW119" s="81" t="s">
        <v>1024</v>
      </c>
      <c r="AX119" s="81" t="s">
        <v>1024</v>
      </c>
      <c r="AY119" s="77"/>
      <c r="AZ119" s="81" t="s">
        <v>1210</v>
      </c>
      <c r="BA119" s="81" t="s">
        <v>1210</v>
      </c>
      <c r="BB119" s="81" t="s">
        <v>1210</v>
      </c>
      <c r="BC119" s="81" t="s">
        <v>1024</v>
      </c>
      <c r="BD119" s="81" t="s">
        <v>1272</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v>0</v>
      </c>
      <c r="BN119" s="46">
        <v>0</v>
      </c>
      <c r="BO119" s="45">
        <v>1</v>
      </c>
      <c r="BP119" s="46">
        <v>10</v>
      </c>
      <c r="BQ119" s="45">
        <v>0</v>
      </c>
      <c r="BR119" s="46">
        <v>0</v>
      </c>
      <c r="BS119" s="45">
        <v>4</v>
      </c>
      <c r="BT119" s="46">
        <v>40</v>
      </c>
      <c r="BU119" s="45">
        <v>10</v>
      </c>
    </row>
    <row r="120" spans="1:73" ht="15">
      <c r="A120" s="61" t="s">
        <v>300</v>
      </c>
      <c r="B120" s="61" t="s">
        <v>300</v>
      </c>
      <c r="C120" s="62" t="s">
        <v>11652</v>
      </c>
      <c r="D120" s="63">
        <v>3</v>
      </c>
      <c r="E120" s="64" t="s">
        <v>132</v>
      </c>
      <c r="F120" s="65">
        <v>32</v>
      </c>
      <c r="G120" s="62"/>
      <c r="H120" s="66"/>
      <c r="I120" s="67"/>
      <c r="J120" s="67"/>
      <c r="K120" s="31" t="s">
        <v>65</v>
      </c>
      <c r="L120" s="75">
        <v>120</v>
      </c>
      <c r="M120" s="75"/>
      <c r="N120" s="69"/>
      <c r="O120" s="77" t="s">
        <v>178</v>
      </c>
      <c r="P120" s="79">
        <v>45069.79655092592</v>
      </c>
      <c r="Q120" s="77" t="s">
        <v>526</v>
      </c>
      <c r="R120" s="77">
        <v>0</v>
      </c>
      <c r="S120" s="77">
        <v>0</v>
      </c>
      <c r="T120" s="77">
        <v>0</v>
      </c>
      <c r="U120" s="77">
        <v>0</v>
      </c>
      <c r="V120" s="77">
        <v>18</v>
      </c>
      <c r="W120" s="81" t="s">
        <v>592</v>
      </c>
      <c r="X120" s="83" t="str">
        <f>HYPERLINK("https://www.nytimes.com/interactive/2021/08/11/climate/deaths-pacific-northwest-heat-wave.html?smid=nytcore-android-share")</f>
        <v>https://www.nytimes.com/interactive/2021/08/11/climate/deaths-pacific-northwest-heat-wave.html?smid=nytcore-android-share</v>
      </c>
      <c r="Y120" s="77" t="s">
        <v>606</v>
      </c>
      <c r="Z120" s="77"/>
      <c r="AA120" s="77"/>
      <c r="AB120" s="77"/>
      <c r="AC120" s="81" t="s">
        <v>677</v>
      </c>
      <c r="AD120" s="77" t="s">
        <v>686</v>
      </c>
      <c r="AE120" s="83" t="str">
        <f>HYPERLINK("https://twitter.com/shannoncmallory/status/1661086352597991424")</f>
        <v>https://twitter.com/shannoncmallory/status/1661086352597991424</v>
      </c>
      <c r="AF120" s="79">
        <v>45069.79655092592</v>
      </c>
      <c r="AG120" s="85">
        <v>45069</v>
      </c>
      <c r="AH120" s="81" t="s">
        <v>771</v>
      </c>
      <c r="AI120" s="77" t="b">
        <v>0</v>
      </c>
      <c r="AJ120" s="77" t="s">
        <v>828</v>
      </c>
      <c r="AK120" s="77" t="s">
        <v>849</v>
      </c>
      <c r="AL120" s="77" t="s">
        <v>850</v>
      </c>
      <c r="AM120" s="77" t="s">
        <v>852</v>
      </c>
      <c r="AN120" s="77" t="s">
        <v>874</v>
      </c>
      <c r="AO120" s="77" t="s">
        <v>896</v>
      </c>
      <c r="AP120" s="77" t="s">
        <v>917</v>
      </c>
      <c r="AQ120" s="77"/>
      <c r="AR120" s="77"/>
      <c r="AS120" s="77"/>
      <c r="AT120" s="77"/>
      <c r="AU120" s="77"/>
      <c r="AV120" s="83" t="str">
        <f>HYPERLINK("https://pbs.twimg.com/profile_images/1629689892921020416/6_vXKeEX_normal.jpg")</f>
        <v>https://pbs.twimg.com/profile_images/1629689892921020416/6_vXKeEX_normal.jpg</v>
      </c>
      <c r="AW120" s="81" t="s">
        <v>1025</v>
      </c>
      <c r="AX120" s="81" t="s">
        <v>1025</v>
      </c>
      <c r="AY120" s="77"/>
      <c r="AZ120" s="81" t="s">
        <v>1210</v>
      </c>
      <c r="BA120" s="81" t="s">
        <v>1210</v>
      </c>
      <c r="BB120" s="81" t="s">
        <v>1210</v>
      </c>
      <c r="BC120" s="81" t="s">
        <v>1025</v>
      </c>
      <c r="BD120" s="77">
        <v>2563016869</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1</v>
      </c>
      <c r="BN120" s="46">
        <v>7.6923076923076925</v>
      </c>
      <c r="BO120" s="45">
        <v>1</v>
      </c>
      <c r="BP120" s="46">
        <v>7.6923076923076925</v>
      </c>
      <c r="BQ120" s="45">
        <v>0</v>
      </c>
      <c r="BR120" s="46">
        <v>0</v>
      </c>
      <c r="BS120" s="45">
        <v>8</v>
      </c>
      <c r="BT120" s="46">
        <v>61.53846153846154</v>
      </c>
      <c r="BU120" s="45">
        <v>13</v>
      </c>
    </row>
    <row r="121" spans="1:73" ht="15">
      <c r="A121" s="61" t="s">
        <v>301</v>
      </c>
      <c r="B121" s="61" t="s">
        <v>301</v>
      </c>
      <c r="C121" s="62" t="s">
        <v>11652</v>
      </c>
      <c r="D121" s="63">
        <v>3</v>
      </c>
      <c r="E121" s="64" t="s">
        <v>132</v>
      </c>
      <c r="F121" s="65">
        <v>32</v>
      </c>
      <c r="G121" s="62"/>
      <c r="H121" s="66"/>
      <c r="I121" s="67"/>
      <c r="J121" s="67"/>
      <c r="K121" s="31" t="s">
        <v>65</v>
      </c>
      <c r="L121" s="75">
        <v>121</v>
      </c>
      <c r="M121" s="75"/>
      <c r="N121" s="69"/>
      <c r="O121" s="77" t="s">
        <v>178</v>
      </c>
      <c r="P121" s="79">
        <v>45009.85556712963</v>
      </c>
      <c r="Q121" s="77" t="s">
        <v>527</v>
      </c>
      <c r="R121" s="77">
        <v>0</v>
      </c>
      <c r="S121" s="77">
        <v>0</v>
      </c>
      <c r="T121" s="77">
        <v>0</v>
      </c>
      <c r="U121" s="77">
        <v>0</v>
      </c>
      <c r="V121" s="77">
        <v>19</v>
      </c>
      <c r="W121" s="81" t="s">
        <v>593</v>
      </c>
      <c r="X121" s="77"/>
      <c r="Y121" s="77"/>
      <c r="Z121" s="77"/>
      <c r="AA121" s="77" t="s">
        <v>659</v>
      </c>
      <c r="AB121" s="77" t="s">
        <v>672</v>
      </c>
      <c r="AC121" s="81" t="s">
        <v>674</v>
      </c>
      <c r="AD121" s="77" t="s">
        <v>686</v>
      </c>
      <c r="AE121" s="83" t="str">
        <f>HYPERLINK("https://twitter.com/petertaylor_01/status/1639364467489382401")</f>
        <v>https://twitter.com/petertaylor_01/status/1639364467489382401</v>
      </c>
      <c r="AF121" s="79">
        <v>45009.85556712963</v>
      </c>
      <c r="AG121" s="85">
        <v>45009</v>
      </c>
      <c r="AH121" s="81" t="s">
        <v>772</v>
      </c>
      <c r="AI121" s="77" t="b">
        <v>0</v>
      </c>
      <c r="AJ121" s="77" t="s">
        <v>831</v>
      </c>
      <c r="AK121" s="77" t="s">
        <v>849</v>
      </c>
      <c r="AL121" s="77" t="s">
        <v>850</v>
      </c>
      <c r="AM121" s="77" t="s">
        <v>855</v>
      </c>
      <c r="AN121" s="77" t="s">
        <v>877</v>
      </c>
      <c r="AO121" s="77" t="s">
        <v>899</v>
      </c>
      <c r="AP121" s="77" t="s">
        <v>917</v>
      </c>
      <c r="AQ121" s="77" t="s">
        <v>930</v>
      </c>
      <c r="AR121" s="77">
        <v>16033</v>
      </c>
      <c r="AS121" s="77"/>
      <c r="AT121" s="77"/>
      <c r="AU121" s="77"/>
      <c r="AV121" s="83" t="str">
        <f>HYPERLINK("https://pbs.twimg.com/ext_tw_video_thumb/1639364432638902272/pu/img/S2xX0OaanAnsmflF.jpg")</f>
        <v>https://pbs.twimg.com/ext_tw_video_thumb/1639364432638902272/pu/img/S2xX0OaanAnsmflF.jpg</v>
      </c>
      <c r="AW121" s="81" t="s">
        <v>1026</v>
      </c>
      <c r="AX121" s="81" t="s">
        <v>1026</v>
      </c>
      <c r="AY121" s="77"/>
      <c r="AZ121" s="81" t="s">
        <v>1210</v>
      </c>
      <c r="BA121" s="81" t="s">
        <v>1210</v>
      </c>
      <c r="BB121" s="81" t="s">
        <v>1210</v>
      </c>
      <c r="BC121" s="81" t="s">
        <v>1026</v>
      </c>
      <c r="BD121" s="81" t="s">
        <v>1273</v>
      </c>
      <c r="BE121" s="77"/>
      <c r="BF121" s="77"/>
      <c r="BG121" s="77"/>
      <c r="BH121" s="77"/>
      <c r="BI121" s="77"/>
      <c r="BJ121">
        <v>1</v>
      </c>
      <c r="BK121" s="76" t="str">
        <f>REPLACE(INDEX(GroupVertices[Group],MATCH("~"&amp;Edges[[#This Row],[Vertex 1]],GroupVertices[Vertex],0)),1,1,"")</f>
        <v>1</v>
      </c>
      <c r="BL121" s="76" t="str">
        <f>REPLACE(INDEX(GroupVertices[Group],MATCH("~"&amp;Edges[[#This Row],[Vertex 2]],GroupVertices[Vertex],0)),1,1,"")</f>
        <v>1</v>
      </c>
      <c r="BM121" s="45">
        <v>2</v>
      </c>
      <c r="BN121" s="46">
        <v>4.444444444444445</v>
      </c>
      <c r="BO121" s="45">
        <v>3</v>
      </c>
      <c r="BP121" s="46">
        <v>6.666666666666667</v>
      </c>
      <c r="BQ121" s="45">
        <v>0</v>
      </c>
      <c r="BR121" s="46">
        <v>0</v>
      </c>
      <c r="BS121" s="45">
        <v>16</v>
      </c>
      <c r="BT121" s="46">
        <v>35.55555555555556</v>
      </c>
      <c r="BU121" s="45">
        <v>45</v>
      </c>
    </row>
    <row r="122" spans="1:73" ht="15">
      <c r="A122" s="61" t="s">
        <v>302</v>
      </c>
      <c r="B122" s="61" t="s">
        <v>302</v>
      </c>
      <c r="C122" s="62" t="s">
        <v>11652</v>
      </c>
      <c r="D122" s="63">
        <v>3</v>
      </c>
      <c r="E122" s="64" t="s">
        <v>132</v>
      </c>
      <c r="F122" s="65">
        <v>32</v>
      </c>
      <c r="G122" s="62"/>
      <c r="H122" s="66"/>
      <c r="I122" s="67"/>
      <c r="J122" s="67"/>
      <c r="K122" s="31" t="s">
        <v>65</v>
      </c>
      <c r="L122" s="75">
        <v>122</v>
      </c>
      <c r="M122" s="75"/>
      <c r="N122" s="69"/>
      <c r="O122" s="77" t="s">
        <v>178</v>
      </c>
      <c r="P122" s="79">
        <v>45251.98621527778</v>
      </c>
      <c r="Q122" s="77" t="s">
        <v>528</v>
      </c>
      <c r="R122" s="77">
        <v>0</v>
      </c>
      <c r="S122" s="77">
        <v>0</v>
      </c>
      <c r="T122" s="77">
        <v>0</v>
      </c>
      <c r="U122" s="77">
        <v>0</v>
      </c>
      <c r="V122" s="77">
        <v>29</v>
      </c>
      <c r="W122" s="77"/>
      <c r="X122" s="77"/>
      <c r="Y122" s="77"/>
      <c r="Z122" s="77"/>
      <c r="AA122" s="77"/>
      <c r="AB122" s="77"/>
      <c r="AC122" s="81" t="s">
        <v>674</v>
      </c>
      <c r="AD122" s="77" t="s">
        <v>686</v>
      </c>
      <c r="AE122" s="83" t="str">
        <f>HYPERLINK("https://twitter.com/alexiislex/status/1727109675538362542")</f>
        <v>https://twitter.com/alexiislex/status/1727109675538362542</v>
      </c>
      <c r="AF122" s="79">
        <v>45251.98621527778</v>
      </c>
      <c r="AG122" s="85">
        <v>45251</v>
      </c>
      <c r="AH122" s="81" t="s">
        <v>773</v>
      </c>
      <c r="AI122" s="77"/>
      <c r="AJ122" s="77" t="s">
        <v>828</v>
      </c>
      <c r="AK122" s="77" t="s">
        <v>849</v>
      </c>
      <c r="AL122" s="77" t="s">
        <v>850</v>
      </c>
      <c r="AM122" s="77" t="s">
        <v>852</v>
      </c>
      <c r="AN122" s="77" t="s">
        <v>874</v>
      </c>
      <c r="AO122" s="77" t="s">
        <v>896</v>
      </c>
      <c r="AP122" s="77" t="s">
        <v>917</v>
      </c>
      <c r="AQ122" s="77"/>
      <c r="AR122" s="77"/>
      <c r="AS122" s="77"/>
      <c r="AT122" s="77"/>
      <c r="AU122" s="77"/>
      <c r="AV122" s="83" t="str">
        <f>HYPERLINK("https://pbs.twimg.com/profile_images/1743439784306233344/etKgqrKH_normal.jpg")</f>
        <v>https://pbs.twimg.com/profile_images/1743439784306233344/etKgqrKH_normal.jpg</v>
      </c>
      <c r="AW122" s="81" t="s">
        <v>1027</v>
      </c>
      <c r="AX122" s="81" t="s">
        <v>1027</v>
      </c>
      <c r="AY122" s="77"/>
      <c r="AZ122" s="81" t="s">
        <v>1210</v>
      </c>
      <c r="BA122" s="81" t="s">
        <v>1210</v>
      </c>
      <c r="BB122" s="81" t="s">
        <v>1210</v>
      </c>
      <c r="BC122" s="81" t="s">
        <v>1027</v>
      </c>
      <c r="BD122" s="81" t="s">
        <v>1274</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0</v>
      </c>
      <c r="BN122" s="46">
        <v>0</v>
      </c>
      <c r="BO122" s="45">
        <v>3</v>
      </c>
      <c r="BP122" s="46">
        <v>12</v>
      </c>
      <c r="BQ122" s="45">
        <v>0</v>
      </c>
      <c r="BR122" s="46">
        <v>0</v>
      </c>
      <c r="BS122" s="45">
        <v>11</v>
      </c>
      <c r="BT122" s="46">
        <v>44</v>
      </c>
      <c r="BU122" s="45">
        <v>25</v>
      </c>
    </row>
    <row r="123" spans="1:73" ht="15">
      <c r="A123" s="61" t="s">
        <v>303</v>
      </c>
      <c r="B123" s="61" t="s">
        <v>405</v>
      </c>
      <c r="C123" s="62" t="s">
        <v>11652</v>
      </c>
      <c r="D123" s="63">
        <v>3</v>
      </c>
      <c r="E123" s="64" t="s">
        <v>132</v>
      </c>
      <c r="F123" s="65">
        <v>32</v>
      </c>
      <c r="G123" s="62"/>
      <c r="H123" s="66"/>
      <c r="I123" s="67"/>
      <c r="J123" s="67"/>
      <c r="K123" s="31" t="s">
        <v>65</v>
      </c>
      <c r="L123" s="75">
        <v>123</v>
      </c>
      <c r="M123" s="75"/>
      <c r="N123" s="69"/>
      <c r="O123" s="77" t="s">
        <v>438</v>
      </c>
      <c r="P123" s="79">
        <v>44968.8665625</v>
      </c>
      <c r="Q123" s="77" t="s">
        <v>529</v>
      </c>
      <c r="R123" s="77">
        <v>0</v>
      </c>
      <c r="S123" s="77">
        <v>0</v>
      </c>
      <c r="T123" s="77">
        <v>0</v>
      </c>
      <c r="U123" s="77">
        <v>0</v>
      </c>
      <c r="V123" s="77">
        <v>4</v>
      </c>
      <c r="W123" s="77"/>
      <c r="X123" s="77"/>
      <c r="Y123" s="77"/>
      <c r="Z123" s="77" t="s">
        <v>405</v>
      </c>
      <c r="AA123" s="77"/>
      <c r="AB123" s="77"/>
      <c r="AC123" s="81" t="s">
        <v>677</v>
      </c>
      <c r="AD123" s="77" t="s">
        <v>686</v>
      </c>
      <c r="AE123" s="83" t="str">
        <f>HYPERLINK("https://twitter.com/dickmar52/status/1624510550893035520")</f>
        <v>https://twitter.com/dickmar52/status/1624510550893035520</v>
      </c>
      <c r="AF123" s="79">
        <v>44968.8665625</v>
      </c>
      <c r="AG123" s="85">
        <v>44968</v>
      </c>
      <c r="AH123" s="81" t="s">
        <v>774</v>
      </c>
      <c r="AI123" s="77"/>
      <c r="AJ123" s="77" t="s">
        <v>831</v>
      </c>
      <c r="AK123" s="77" t="s">
        <v>849</v>
      </c>
      <c r="AL123" s="77" t="s">
        <v>850</v>
      </c>
      <c r="AM123" s="77" t="s">
        <v>855</v>
      </c>
      <c r="AN123" s="77" t="s">
        <v>877</v>
      </c>
      <c r="AO123" s="77" t="s">
        <v>899</v>
      </c>
      <c r="AP123" s="77" t="s">
        <v>917</v>
      </c>
      <c r="AQ123" s="77"/>
      <c r="AR123" s="77"/>
      <c r="AS123" s="77"/>
      <c r="AT123" s="77"/>
      <c r="AU123" s="77"/>
      <c r="AV123" s="83" t="str">
        <f>HYPERLINK("https://pbs.twimg.com/profile_images/1344484370715840513/NBcFRkDf_normal.jpg")</f>
        <v>https://pbs.twimg.com/profile_images/1344484370715840513/NBcFRkDf_normal.jpg</v>
      </c>
      <c r="AW123" s="81" t="s">
        <v>1028</v>
      </c>
      <c r="AX123" s="81" t="s">
        <v>1122</v>
      </c>
      <c r="AY123" s="81" t="s">
        <v>1186</v>
      </c>
      <c r="AZ123" s="81" t="s">
        <v>1122</v>
      </c>
      <c r="BA123" s="81" t="s">
        <v>1210</v>
      </c>
      <c r="BB123" s="81" t="s">
        <v>1210</v>
      </c>
      <c r="BC123" s="81" t="s">
        <v>1122</v>
      </c>
      <c r="BD123" s="77">
        <v>1717931833</v>
      </c>
      <c r="BE123" s="77"/>
      <c r="BF123" s="77"/>
      <c r="BG123" s="77"/>
      <c r="BH123" s="77"/>
      <c r="BI123" s="77"/>
      <c r="BJ123">
        <v>1</v>
      </c>
      <c r="BK123" s="76" t="str">
        <f>REPLACE(INDEX(GroupVertices[Group],MATCH("~"&amp;Edges[[#This Row],[Vertex 1]],GroupVertices[Vertex],0)),1,1,"")</f>
        <v>38</v>
      </c>
      <c r="BL123" s="76" t="str">
        <f>REPLACE(INDEX(GroupVertices[Group],MATCH("~"&amp;Edges[[#This Row],[Vertex 2]],GroupVertices[Vertex],0)),1,1,"")</f>
        <v>38</v>
      </c>
      <c r="BM123" s="45">
        <v>3</v>
      </c>
      <c r="BN123" s="46">
        <v>13.636363636363637</v>
      </c>
      <c r="BO123" s="45">
        <v>1</v>
      </c>
      <c r="BP123" s="46">
        <v>4.545454545454546</v>
      </c>
      <c r="BQ123" s="45">
        <v>0</v>
      </c>
      <c r="BR123" s="46">
        <v>0</v>
      </c>
      <c r="BS123" s="45">
        <v>10</v>
      </c>
      <c r="BT123" s="46">
        <v>45.45454545454545</v>
      </c>
      <c r="BU123" s="45">
        <v>22</v>
      </c>
    </row>
    <row r="124" spans="1:73" ht="15">
      <c r="A124" s="61" t="s">
        <v>304</v>
      </c>
      <c r="B124" s="61" t="s">
        <v>350</v>
      </c>
      <c r="C124" s="62" t="s">
        <v>11652</v>
      </c>
      <c r="D124" s="63">
        <v>3</v>
      </c>
      <c r="E124" s="64" t="s">
        <v>132</v>
      </c>
      <c r="F124" s="65">
        <v>32</v>
      </c>
      <c r="G124" s="62"/>
      <c r="H124" s="66"/>
      <c r="I124" s="67"/>
      <c r="J124" s="67"/>
      <c r="K124" s="31" t="s">
        <v>65</v>
      </c>
      <c r="L124" s="75">
        <v>124</v>
      </c>
      <c r="M124" s="75"/>
      <c r="N124" s="69"/>
      <c r="O124" s="77" t="s">
        <v>439</v>
      </c>
      <c r="P124" s="79">
        <v>45319.726851851854</v>
      </c>
      <c r="Q124" s="77" t="s">
        <v>530</v>
      </c>
      <c r="R124" s="77">
        <v>42</v>
      </c>
      <c r="S124" s="77">
        <v>174</v>
      </c>
      <c r="T124" s="77">
        <v>16</v>
      </c>
      <c r="U124" s="77">
        <v>2</v>
      </c>
      <c r="V124" s="77">
        <v>3873</v>
      </c>
      <c r="W124" s="77"/>
      <c r="X124" s="77"/>
      <c r="Y124" s="77"/>
      <c r="Z124" s="77"/>
      <c r="AA124" s="77"/>
      <c r="AB124" s="77"/>
      <c r="AC124" s="81" t="s">
        <v>674</v>
      </c>
      <c r="AD124" s="77" t="s">
        <v>686</v>
      </c>
      <c r="AE124" s="83" t="str">
        <f>HYPERLINK("https://twitter.com/benedtl/status/1751658059280318776")</f>
        <v>https://twitter.com/benedtl/status/1751658059280318776</v>
      </c>
      <c r="AF124" s="79">
        <v>45319.726851851854</v>
      </c>
      <c r="AG124" s="85">
        <v>45319</v>
      </c>
      <c r="AH124" s="81" t="s">
        <v>775</v>
      </c>
      <c r="AI124" s="77"/>
      <c r="AJ124" s="77" t="s">
        <v>843</v>
      </c>
      <c r="AK124" s="77" t="s">
        <v>849</v>
      </c>
      <c r="AL124" s="77" t="s">
        <v>850</v>
      </c>
      <c r="AM124" s="77" t="s">
        <v>867</v>
      </c>
      <c r="AN124" s="77" t="s">
        <v>889</v>
      </c>
      <c r="AO124" s="77" t="s">
        <v>911</v>
      </c>
      <c r="AP124" s="77" t="s">
        <v>917</v>
      </c>
      <c r="AQ124" s="77"/>
      <c r="AR124" s="77"/>
      <c r="AS124" s="77"/>
      <c r="AT124" s="77"/>
      <c r="AU124" s="77"/>
      <c r="AV124" s="83" t="str">
        <f>HYPERLINK("https://pbs.twimg.com/profile_images/1729138548996202496/sqt-CmDG_normal.jpg")</f>
        <v>https://pbs.twimg.com/profile_images/1729138548996202496/sqt-CmDG_normal.jpg</v>
      </c>
      <c r="AW124" s="81" t="s">
        <v>1029</v>
      </c>
      <c r="AX124" s="81" t="s">
        <v>1029</v>
      </c>
      <c r="AY124" s="77"/>
      <c r="AZ124" s="81" t="s">
        <v>1210</v>
      </c>
      <c r="BA124" s="81" t="s">
        <v>1102</v>
      </c>
      <c r="BB124" s="81" t="s">
        <v>1210</v>
      </c>
      <c r="BC124" s="81" t="s">
        <v>1102</v>
      </c>
      <c r="BD124" s="77">
        <v>49103785</v>
      </c>
      <c r="BE124" s="77"/>
      <c r="BF124" s="77"/>
      <c r="BG124" s="77"/>
      <c r="BH124" s="77"/>
      <c r="BI124" s="77"/>
      <c r="BJ124">
        <v>1</v>
      </c>
      <c r="BK124" s="76" t="str">
        <f>REPLACE(INDEX(GroupVertices[Group],MATCH("~"&amp;Edges[[#This Row],[Vertex 1]],GroupVertices[Vertex],0)),1,1,"")</f>
        <v>2</v>
      </c>
      <c r="BL124" s="76" t="str">
        <f>REPLACE(INDEX(GroupVertices[Group],MATCH("~"&amp;Edges[[#This Row],[Vertex 2]],GroupVertices[Vertex],0)),1,1,"")</f>
        <v>2</v>
      </c>
      <c r="BM124" s="45">
        <v>0</v>
      </c>
      <c r="BN124" s="46">
        <v>0</v>
      </c>
      <c r="BO124" s="45">
        <v>1</v>
      </c>
      <c r="BP124" s="46">
        <v>4.166666666666667</v>
      </c>
      <c r="BQ124" s="45">
        <v>0</v>
      </c>
      <c r="BR124" s="46">
        <v>0</v>
      </c>
      <c r="BS124" s="45">
        <v>10</v>
      </c>
      <c r="BT124" s="46">
        <v>41.666666666666664</v>
      </c>
      <c r="BU124" s="45">
        <v>24</v>
      </c>
    </row>
    <row r="125" spans="1:73" ht="15">
      <c r="A125" s="61" t="s">
        <v>305</v>
      </c>
      <c r="B125" s="61" t="s">
        <v>305</v>
      </c>
      <c r="C125" s="62" t="s">
        <v>11652</v>
      </c>
      <c r="D125" s="63">
        <v>3</v>
      </c>
      <c r="E125" s="64" t="s">
        <v>132</v>
      </c>
      <c r="F125" s="65">
        <v>32</v>
      </c>
      <c r="G125" s="62"/>
      <c r="H125" s="66"/>
      <c r="I125" s="67"/>
      <c r="J125" s="67"/>
      <c r="K125" s="31" t="s">
        <v>65</v>
      </c>
      <c r="L125" s="75">
        <v>125</v>
      </c>
      <c r="M125" s="75"/>
      <c r="N125" s="69"/>
      <c r="O125" s="77" t="s">
        <v>178</v>
      </c>
      <c r="P125" s="79">
        <v>45044.789988425924</v>
      </c>
      <c r="Q125" s="77" t="s">
        <v>531</v>
      </c>
      <c r="R125" s="77">
        <v>6058</v>
      </c>
      <c r="S125" s="77">
        <v>14148</v>
      </c>
      <c r="T125" s="77">
        <v>701</v>
      </c>
      <c r="U125" s="77">
        <v>740</v>
      </c>
      <c r="V125" s="77">
        <v>2479048</v>
      </c>
      <c r="W125" s="77"/>
      <c r="X125" s="83" t="str">
        <f>HYPERLINK("https://www.businessinsider.com/jane-roberts-chief-justice-wife-10-million-commissions-2023-4")</f>
        <v>https://www.businessinsider.com/jane-roberts-chief-justice-wife-10-million-commissions-2023-4</v>
      </c>
      <c r="Y125" s="77" t="s">
        <v>613</v>
      </c>
      <c r="Z125" s="77"/>
      <c r="AA125" s="77" t="s">
        <v>660</v>
      </c>
      <c r="AB125" s="77" t="s">
        <v>671</v>
      </c>
      <c r="AC125" s="81" t="s">
        <v>674</v>
      </c>
      <c r="AD125" s="77" t="s">
        <v>686</v>
      </c>
      <c r="AE125" s="83" t="str">
        <f>HYPERLINK("https://twitter.com/sawyerhackett/status/1652024275446972424")</f>
        <v>https://twitter.com/sawyerhackett/status/1652024275446972424</v>
      </c>
      <c r="AF125" s="79">
        <v>45044.789988425924</v>
      </c>
      <c r="AG125" s="85">
        <v>45044</v>
      </c>
      <c r="AH125" s="81" t="s">
        <v>776</v>
      </c>
      <c r="AI125" s="77" t="b">
        <v>0</v>
      </c>
      <c r="AJ125" s="77"/>
      <c r="AK125" s="77"/>
      <c r="AL125" s="77"/>
      <c r="AM125" s="77"/>
      <c r="AN125" s="77"/>
      <c r="AO125" s="77"/>
      <c r="AP125" s="77"/>
      <c r="AQ125" s="77" t="s">
        <v>931</v>
      </c>
      <c r="AR125" s="77"/>
      <c r="AS125" s="77"/>
      <c r="AT125" s="77"/>
      <c r="AU125" s="77"/>
      <c r="AV125" s="83" t="str">
        <f>HYPERLINK("https://pbs.twimg.com/media/Fu0rTeAWwBAl-Fd.jpg")</f>
        <v>https://pbs.twimg.com/media/Fu0rTeAWwBAl-Fd.jpg</v>
      </c>
      <c r="AW125" s="81" t="s">
        <v>1030</v>
      </c>
      <c r="AX125" s="81" t="s">
        <v>1030</v>
      </c>
      <c r="AY125" s="77"/>
      <c r="AZ125" s="81" t="s">
        <v>1210</v>
      </c>
      <c r="BA125" s="81" t="s">
        <v>1210</v>
      </c>
      <c r="BB125" s="81" t="s">
        <v>1210</v>
      </c>
      <c r="BC125" s="81" t="s">
        <v>1030</v>
      </c>
      <c r="BD125" s="77">
        <v>219141142</v>
      </c>
      <c r="BE125" s="77"/>
      <c r="BF125" s="77"/>
      <c r="BG125" s="77"/>
      <c r="BH125" s="77"/>
      <c r="BI125" s="77"/>
      <c r="BJ125">
        <v>1</v>
      </c>
      <c r="BK125" s="76" t="str">
        <f>REPLACE(INDEX(GroupVertices[Group],MATCH("~"&amp;Edges[[#This Row],[Vertex 1]],GroupVertices[Vertex],0)),1,1,"")</f>
        <v>41</v>
      </c>
      <c r="BL125" s="76" t="str">
        <f>REPLACE(INDEX(GroupVertices[Group],MATCH("~"&amp;Edges[[#This Row],[Vertex 2]],GroupVertices[Vertex],0)),1,1,"")</f>
        <v>41</v>
      </c>
      <c r="BM125" s="45">
        <v>2</v>
      </c>
      <c r="BN125" s="46">
        <v>4.444444444444445</v>
      </c>
      <c r="BO125" s="45">
        <v>0</v>
      </c>
      <c r="BP125" s="46">
        <v>0</v>
      </c>
      <c r="BQ125" s="45">
        <v>0</v>
      </c>
      <c r="BR125" s="46">
        <v>0</v>
      </c>
      <c r="BS125" s="45">
        <v>26</v>
      </c>
      <c r="BT125" s="46">
        <v>57.77777777777778</v>
      </c>
      <c r="BU125" s="45">
        <v>45</v>
      </c>
    </row>
    <row r="126" spans="1:73" ht="15">
      <c r="A126" s="61" t="s">
        <v>306</v>
      </c>
      <c r="B126" s="61" t="s">
        <v>406</v>
      </c>
      <c r="C126" s="62" t="s">
        <v>11652</v>
      </c>
      <c r="D126" s="63">
        <v>3</v>
      </c>
      <c r="E126" s="64" t="s">
        <v>132</v>
      </c>
      <c r="F126" s="65">
        <v>32</v>
      </c>
      <c r="G126" s="62"/>
      <c r="H126" s="66"/>
      <c r="I126" s="67"/>
      <c r="J126" s="67"/>
      <c r="K126" s="31" t="s">
        <v>65</v>
      </c>
      <c r="L126" s="75">
        <v>126</v>
      </c>
      <c r="M126" s="75"/>
      <c r="N126" s="69"/>
      <c r="O126" s="77" t="s">
        <v>437</v>
      </c>
      <c r="P126" s="79">
        <v>45319.822164351855</v>
      </c>
      <c r="Q126" s="77" t="s">
        <v>532</v>
      </c>
      <c r="R126" s="77">
        <v>0</v>
      </c>
      <c r="S126" s="77">
        <v>1</v>
      </c>
      <c r="T126" s="77">
        <v>1</v>
      </c>
      <c r="U126" s="77">
        <v>0</v>
      </c>
      <c r="V126" s="77">
        <v>27</v>
      </c>
      <c r="W126" s="77"/>
      <c r="X126" s="83" t="str">
        <f>HYPERLINK("https://www.voanews.com/a/gaza-death-toll-climbs-above-26-000-health-ministry-reports/7458258.html")</f>
        <v>https://www.voanews.com/a/gaza-death-toll-climbs-above-26-000-health-ministry-reports/7458258.html</v>
      </c>
      <c r="Y126" s="77" t="s">
        <v>614</v>
      </c>
      <c r="Z126" s="77" t="s">
        <v>638</v>
      </c>
      <c r="AA126" s="77"/>
      <c r="AB126" s="77"/>
      <c r="AC126" s="81" t="s">
        <v>677</v>
      </c>
      <c r="AD126" s="77" t="s">
        <v>686</v>
      </c>
      <c r="AE126" s="83" t="str">
        <f>HYPERLINK("https://twitter.com/pdxsburning/status/1751692600908902683")</f>
        <v>https://twitter.com/pdxsburning/status/1751692600908902683</v>
      </c>
      <c r="AF126" s="79">
        <v>45319.822164351855</v>
      </c>
      <c r="AG126" s="85">
        <v>45319</v>
      </c>
      <c r="AH126" s="81" t="s">
        <v>777</v>
      </c>
      <c r="AI126" s="77" t="b">
        <v>0</v>
      </c>
      <c r="AJ126" s="77"/>
      <c r="AK126" s="77"/>
      <c r="AL126" s="77"/>
      <c r="AM126" s="77"/>
      <c r="AN126" s="77"/>
      <c r="AO126" s="77"/>
      <c r="AP126" s="77"/>
      <c r="AQ126" s="77"/>
      <c r="AR126" s="77"/>
      <c r="AS126" s="77"/>
      <c r="AT126" s="77"/>
      <c r="AU126" s="77"/>
      <c r="AV126" s="83" t="str">
        <f>HYPERLINK("https://pbs.twimg.com/profile_images/1507397934769344514/c2CFljRv_normal.jpg")</f>
        <v>https://pbs.twimg.com/profile_images/1507397934769344514/c2CFljRv_normal.jpg</v>
      </c>
      <c r="AW126" s="81" t="s">
        <v>1031</v>
      </c>
      <c r="AX126" s="81" t="s">
        <v>1123</v>
      </c>
      <c r="AY126" s="81" t="s">
        <v>1187</v>
      </c>
      <c r="AZ126" s="81" t="s">
        <v>1225</v>
      </c>
      <c r="BA126" s="81" t="s">
        <v>1210</v>
      </c>
      <c r="BB126" s="81" t="s">
        <v>1210</v>
      </c>
      <c r="BC126" s="81" t="s">
        <v>1225</v>
      </c>
      <c r="BD126" s="81" t="s">
        <v>1187</v>
      </c>
      <c r="BE126" s="77"/>
      <c r="BF126" s="77"/>
      <c r="BG126" s="77"/>
      <c r="BH126" s="77"/>
      <c r="BI126" s="77"/>
      <c r="BJ126">
        <v>1</v>
      </c>
      <c r="BK126" s="76" t="str">
        <f>REPLACE(INDEX(GroupVertices[Group],MATCH("~"&amp;Edges[[#This Row],[Vertex 1]],GroupVertices[Vertex],0)),1,1,"")</f>
        <v>15</v>
      </c>
      <c r="BL126" s="76" t="str">
        <f>REPLACE(INDEX(GroupVertices[Group],MATCH("~"&amp;Edges[[#This Row],[Vertex 2]],GroupVertices[Vertex],0)),1,1,"")</f>
        <v>15</v>
      </c>
      <c r="BM126" s="45"/>
      <c r="BN126" s="46"/>
      <c r="BO126" s="45"/>
      <c r="BP126" s="46"/>
      <c r="BQ126" s="45"/>
      <c r="BR126" s="46"/>
      <c r="BS126" s="45"/>
      <c r="BT126" s="46"/>
      <c r="BU126" s="45"/>
    </row>
    <row r="127" spans="1:73" ht="15">
      <c r="A127" s="61" t="s">
        <v>306</v>
      </c>
      <c r="B127" s="61" t="s">
        <v>407</v>
      </c>
      <c r="C127" s="62" t="s">
        <v>11652</v>
      </c>
      <c r="D127" s="63">
        <v>3</v>
      </c>
      <c r="E127" s="64" t="s">
        <v>132</v>
      </c>
      <c r="F127" s="65">
        <v>32</v>
      </c>
      <c r="G127" s="62"/>
      <c r="H127" s="66"/>
      <c r="I127" s="67"/>
      <c r="J127" s="67"/>
      <c r="K127" s="31" t="s">
        <v>65</v>
      </c>
      <c r="L127" s="75">
        <v>127</v>
      </c>
      <c r="M127" s="75"/>
      <c r="N127" s="69"/>
      <c r="O127" s="77" t="s">
        <v>437</v>
      </c>
      <c r="P127" s="79">
        <v>45319.822164351855</v>
      </c>
      <c r="Q127" s="77" t="s">
        <v>532</v>
      </c>
      <c r="R127" s="77">
        <v>0</v>
      </c>
      <c r="S127" s="77">
        <v>1</v>
      </c>
      <c r="T127" s="77">
        <v>1</v>
      </c>
      <c r="U127" s="77">
        <v>0</v>
      </c>
      <c r="V127" s="77">
        <v>27</v>
      </c>
      <c r="W127" s="77"/>
      <c r="X127" s="83" t="str">
        <f>HYPERLINK("https://www.voanews.com/a/gaza-death-toll-climbs-above-26-000-health-ministry-reports/7458258.html")</f>
        <v>https://www.voanews.com/a/gaza-death-toll-climbs-above-26-000-health-ministry-reports/7458258.html</v>
      </c>
      <c r="Y127" s="77" t="s">
        <v>614</v>
      </c>
      <c r="Z127" s="77" t="s">
        <v>638</v>
      </c>
      <c r="AA127" s="77"/>
      <c r="AB127" s="77"/>
      <c r="AC127" s="81" t="s">
        <v>677</v>
      </c>
      <c r="AD127" s="77" t="s">
        <v>686</v>
      </c>
      <c r="AE127" s="83" t="str">
        <f>HYPERLINK("https://twitter.com/pdxsburning/status/1751692600908902683")</f>
        <v>https://twitter.com/pdxsburning/status/1751692600908902683</v>
      </c>
      <c r="AF127" s="79">
        <v>45319.822164351855</v>
      </c>
      <c r="AG127" s="85">
        <v>45319</v>
      </c>
      <c r="AH127" s="81" t="s">
        <v>777</v>
      </c>
      <c r="AI127" s="77" t="b">
        <v>0</v>
      </c>
      <c r="AJ127" s="77"/>
      <c r="AK127" s="77"/>
      <c r="AL127" s="77"/>
      <c r="AM127" s="77"/>
      <c r="AN127" s="77"/>
      <c r="AO127" s="77"/>
      <c r="AP127" s="77"/>
      <c r="AQ127" s="77"/>
      <c r="AR127" s="77"/>
      <c r="AS127" s="77"/>
      <c r="AT127" s="77"/>
      <c r="AU127" s="77"/>
      <c r="AV127" s="83" t="str">
        <f>HYPERLINK("https://pbs.twimg.com/profile_images/1507397934769344514/c2CFljRv_normal.jpg")</f>
        <v>https://pbs.twimg.com/profile_images/1507397934769344514/c2CFljRv_normal.jpg</v>
      </c>
      <c r="AW127" s="81" t="s">
        <v>1031</v>
      </c>
      <c r="AX127" s="81" t="s">
        <v>1123</v>
      </c>
      <c r="AY127" s="81" t="s">
        <v>1187</v>
      </c>
      <c r="AZ127" s="81" t="s">
        <v>1225</v>
      </c>
      <c r="BA127" s="81" t="s">
        <v>1210</v>
      </c>
      <c r="BB127" s="81" t="s">
        <v>1210</v>
      </c>
      <c r="BC127" s="81" t="s">
        <v>1225</v>
      </c>
      <c r="BD127" s="81" t="s">
        <v>1187</v>
      </c>
      <c r="BE127" s="77"/>
      <c r="BF127" s="77"/>
      <c r="BG127" s="77"/>
      <c r="BH127" s="77"/>
      <c r="BI127" s="77"/>
      <c r="BJ127">
        <v>1</v>
      </c>
      <c r="BK127" s="76" t="str">
        <f>REPLACE(INDEX(GroupVertices[Group],MATCH("~"&amp;Edges[[#This Row],[Vertex 1]],GroupVertices[Vertex],0)),1,1,"")</f>
        <v>15</v>
      </c>
      <c r="BL127" s="76" t="str">
        <f>REPLACE(INDEX(GroupVertices[Group],MATCH("~"&amp;Edges[[#This Row],[Vertex 2]],GroupVertices[Vertex],0)),1,1,"")</f>
        <v>15</v>
      </c>
      <c r="BM127" s="45">
        <v>0</v>
      </c>
      <c r="BN127" s="46">
        <v>0</v>
      </c>
      <c r="BO127" s="45">
        <v>2</v>
      </c>
      <c r="BP127" s="46">
        <v>5.405405405405405</v>
      </c>
      <c r="BQ127" s="45">
        <v>0</v>
      </c>
      <c r="BR127" s="46">
        <v>0</v>
      </c>
      <c r="BS127" s="45">
        <v>18</v>
      </c>
      <c r="BT127" s="46">
        <v>48.648648648648646</v>
      </c>
      <c r="BU127" s="45">
        <v>37</v>
      </c>
    </row>
    <row r="128" spans="1:73" ht="15">
      <c r="A128" s="61" t="s">
        <v>306</v>
      </c>
      <c r="B128" s="61" t="s">
        <v>306</v>
      </c>
      <c r="C128" s="62" t="s">
        <v>11652</v>
      </c>
      <c r="D128" s="63">
        <v>3</v>
      </c>
      <c r="E128" s="64" t="s">
        <v>132</v>
      </c>
      <c r="F128" s="65">
        <v>32</v>
      </c>
      <c r="G128" s="62"/>
      <c r="H128" s="66"/>
      <c r="I128" s="67"/>
      <c r="J128" s="67"/>
      <c r="K128" s="31" t="s">
        <v>65</v>
      </c>
      <c r="L128" s="75">
        <v>128</v>
      </c>
      <c r="M128" s="75"/>
      <c r="N128" s="69"/>
      <c r="O128" s="77" t="s">
        <v>438</v>
      </c>
      <c r="P128" s="79">
        <v>45319.822164351855</v>
      </c>
      <c r="Q128" s="77" t="s">
        <v>532</v>
      </c>
      <c r="R128" s="77">
        <v>0</v>
      </c>
      <c r="S128" s="77">
        <v>1</v>
      </c>
      <c r="T128" s="77">
        <v>1</v>
      </c>
      <c r="U128" s="77">
        <v>0</v>
      </c>
      <c r="V128" s="77">
        <v>27</v>
      </c>
      <c r="W128" s="77"/>
      <c r="X128" s="83" t="str">
        <f>HYPERLINK("https://www.voanews.com/a/gaza-death-toll-climbs-above-26-000-health-ministry-reports/7458258.html")</f>
        <v>https://www.voanews.com/a/gaza-death-toll-climbs-above-26-000-health-ministry-reports/7458258.html</v>
      </c>
      <c r="Y128" s="77" t="s">
        <v>614</v>
      </c>
      <c r="Z128" s="77" t="s">
        <v>638</v>
      </c>
      <c r="AA128" s="77"/>
      <c r="AB128" s="77"/>
      <c r="AC128" s="81" t="s">
        <v>677</v>
      </c>
      <c r="AD128" s="77" t="s">
        <v>686</v>
      </c>
      <c r="AE128" s="83" t="str">
        <f>HYPERLINK("https://twitter.com/pdxsburning/status/1751692600908902683")</f>
        <v>https://twitter.com/pdxsburning/status/1751692600908902683</v>
      </c>
      <c r="AF128" s="79">
        <v>45319.822164351855</v>
      </c>
      <c r="AG128" s="85">
        <v>45319</v>
      </c>
      <c r="AH128" s="81" t="s">
        <v>777</v>
      </c>
      <c r="AI128" s="77" t="b">
        <v>0</v>
      </c>
      <c r="AJ128" s="77"/>
      <c r="AK128" s="77"/>
      <c r="AL128" s="77"/>
      <c r="AM128" s="77"/>
      <c r="AN128" s="77"/>
      <c r="AO128" s="77"/>
      <c r="AP128" s="77"/>
      <c r="AQ128" s="77"/>
      <c r="AR128" s="77"/>
      <c r="AS128" s="77"/>
      <c r="AT128" s="77"/>
      <c r="AU128" s="77"/>
      <c r="AV128" s="83" t="str">
        <f>HYPERLINK("https://pbs.twimg.com/profile_images/1507397934769344514/c2CFljRv_normal.jpg")</f>
        <v>https://pbs.twimg.com/profile_images/1507397934769344514/c2CFljRv_normal.jpg</v>
      </c>
      <c r="AW128" s="81" t="s">
        <v>1031</v>
      </c>
      <c r="AX128" s="81" t="s">
        <v>1123</v>
      </c>
      <c r="AY128" s="81" t="s">
        <v>1187</v>
      </c>
      <c r="AZ128" s="81" t="s">
        <v>1225</v>
      </c>
      <c r="BA128" s="81" t="s">
        <v>1210</v>
      </c>
      <c r="BB128" s="81" t="s">
        <v>1210</v>
      </c>
      <c r="BC128" s="81" t="s">
        <v>1225</v>
      </c>
      <c r="BD128" s="81" t="s">
        <v>1187</v>
      </c>
      <c r="BE128" s="77"/>
      <c r="BF128" s="77"/>
      <c r="BG128" s="77"/>
      <c r="BH128" s="77"/>
      <c r="BI128" s="77"/>
      <c r="BJ128">
        <v>1</v>
      </c>
      <c r="BK128" s="76" t="str">
        <f>REPLACE(INDEX(GroupVertices[Group],MATCH("~"&amp;Edges[[#This Row],[Vertex 1]],GroupVertices[Vertex],0)),1,1,"")</f>
        <v>15</v>
      </c>
      <c r="BL128" s="76" t="str">
        <f>REPLACE(INDEX(GroupVertices[Group],MATCH("~"&amp;Edges[[#This Row],[Vertex 2]],GroupVertices[Vertex],0)),1,1,"")</f>
        <v>15</v>
      </c>
      <c r="BM128" s="45"/>
      <c r="BN128" s="46"/>
      <c r="BO128" s="45"/>
      <c r="BP128" s="46"/>
      <c r="BQ128" s="45"/>
      <c r="BR128" s="46"/>
      <c r="BS128" s="45"/>
      <c r="BT128" s="46"/>
      <c r="BU128" s="45"/>
    </row>
    <row r="129" spans="1:73" ht="15">
      <c r="A129" s="61" t="s">
        <v>307</v>
      </c>
      <c r="B129" s="61" t="s">
        <v>320</v>
      </c>
      <c r="C129" s="62" t="s">
        <v>11652</v>
      </c>
      <c r="D129" s="63">
        <v>3</v>
      </c>
      <c r="E129" s="64" t="s">
        <v>132</v>
      </c>
      <c r="F129" s="65">
        <v>32</v>
      </c>
      <c r="G129" s="62"/>
      <c r="H129" s="66"/>
      <c r="I129" s="67"/>
      <c r="J129" s="67"/>
      <c r="K129" s="31" t="s">
        <v>65</v>
      </c>
      <c r="L129" s="75">
        <v>129</v>
      </c>
      <c r="M129" s="75"/>
      <c r="N129" s="69"/>
      <c r="O129" s="77" t="s">
        <v>439</v>
      </c>
      <c r="P129" s="79">
        <v>45228.927141203705</v>
      </c>
      <c r="Q129" s="77" t="s">
        <v>533</v>
      </c>
      <c r="R129" s="77">
        <v>0</v>
      </c>
      <c r="S129" s="77">
        <v>0</v>
      </c>
      <c r="T129" s="77">
        <v>0</v>
      </c>
      <c r="U129" s="77">
        <v>0</v>
      </c>
      <c r="V129" s="77">
        <v>59</v>
      </c>
      <c r="W129" s="81" t="s">
        <v>594</v>
      </c>
      <c r="X129" s="77"/>
      <c r="Y129" s="77"/>
      <c r="Z129" s="77"/>
      <c r="AA129" s="77"/>
      <c r="AB129" s="77"/>
      <c r="AC129" s="81" t="s">
        <v>674</v>
      </c>
      <c r="AD129" s="77" t="s">
        <v>686</v>
      </c>
      <c r="AE129" s="83" t="str">
        <f>HYPERLINK("https://twitter.com/hannahcrazyhawk/status/1718753345513677013")</f>
        <v>https://twitter.com/hannahcrazyhawk/status/1718753345513677013</v>
      </c>
      <c r="AF129" s="79">
        <v>45228.927141203705</v>
      </c>
      <c r="AG129" s="85">
        <v>45228</v>
      </c>
      <c r="AH129" s="81" t="s">
        <v>778</v>
      </c>
      <c r="AI129" s="77"/>
      <c r="AJ129" s="77" t="s">
        <v>844</v>
      </c>
      <c r="AK129" s="77" t="s">
        <v>849</v>
      </c>
      <c r="AL129" s="77" t="s">
        <v>850</v>
      </c>
      <c r="AM129" s="77" t="s">
        <v>868</v>
      </c>
      <c r="AN129" s="77" t="s">
        <v>890</v>
      </c>
      <c r="AO129" s="77" t="s">
        <v>912</v>
      </c>
      <c r="AP129" s="77" t="s">
        <v>917</v>
      </c>
      <c r="AQ129" s="77"/>
      <c r="AR129" s="77"/>
      <c r="AS129" s="77"/>
      <c r="AT129" s="77"/>
      <c r="AU129" s="77"/>
      <c r="AV129" s="83" t="str">
        <f>HYPERLINK("https://pbs.twimg.com/profile_images/1596714154340937728/ljbAcB07_normal.jpg")</f>
        <v>https://pbs.twimg.com/profile_images/1596714154340937728/ljbAcB07_normal.jpg</v>
      </c>
      <c r="AW129" s="81" t="s">
        <v>1032</v>
      </c>
      <c r="AX129" s="81" t="s">
        <v>1032</v>
      </c>
      <c r="AY129" s="77"/>
      <c r="AZ129" s="81" t="s">
        <v>1210</v>
      </c>
      <c r="BA129" s="81" t="s">
        <v>1058</v>
      </c>
      <c r="BB129" s="81" t="s">
        <v>1210</v>
      </c>
      <c r="BC129" s="81" t="s">
        <v>1058</v>
      </c>
      <c r="BD129" s="77">
        <v>157617240</v>
      </c>
      <c r="BE129" s="77"/>
      <c r="BF129" s="77"/>
      <c r="BG129" s="77"/>
      <c r="BH129" s="77"/>
      <c r="BI129" s="77"/>
      <c r="BJ129">
        <v>1</v>
      </c>
      <c r="BK129" s="76" t="str">
        <f>REPLACE(INDEX(GroupVertices[Group],MATCH("~"&amp;Edges[[#This Row],[Vertex 1]],GroupVertices[Vertex],0)),1,1,"")</f>
        <v>37</v>
      </c>
      <c r="BL129" s="76" t="str">
        <f>REPLACE(INDEX(GroupVertices[Group],MATCH("~"&amp;Edges[[#This Row],[Vertex 2]],GroupVertices[Vertex],0)),1,1,"")</f>
        <v>37</v>
      </c>
      <c r="BM129" s="45">
        <v>0</v>
      </c>
      <c r="BN129" s="46">
        <v>0</v>
      </c>
      <c r="BO129" s="45">
        <v>4</v>
      </c>
      <c r="BP129" s="46">
        <v>7.2727272727272725</v>
      </c>
      <c r="BQ129" s="45">
        <v>0</v>
      </c>
      <c r="BR129" s="46">
        <v>0</v>
      </c>
      <c r="BS129" s="45">
        <v>19</v>
      </c>
      <c r="BT129" s="46">
        <v>34.54545454545455</v>
      </c>
      <c r="BU129" s="45">
        <v>55</v>
      </c>
    </row>
    <row r="130" spans="1:73" ht="15">
      <c r="A130" s="61" t="s">
        <v>308</v>
      </c>
      <c r="B130" s="61" t="s">
        <v>408</v>
      </c>
      <c r="C130" s="62" t="s">
        <v>11652</v>
      </c>
      <c r="D130" s="63">
        <v>3</v>
      </c>
      <c r="E130" s="64" t="s">
        <v>132</v>
      </c>
      <c r="F130" s="65">
        <v>32</v>
      </c>
      <c r="G130" s="62"/>
      <c r="H130" s="66"/>
      <c r="I130" s="67"/>
      <c r="J130" s="67"/>
      <c r="K130" s="31" t="s">
        <v>65</v>
      </c>
      <c r="L130" s="75">
        <v>130</v>
      </c>
      <c r="M130" s="75"/>
      <c r="N130" s="69"/>
      <c r="O130" s="77" t="s">
        <v>438</v>
      </c>
      <c r="P130" s="79">
        <v>45157.66633101852</v>
      </c>
      <c r="Q130" s="77" t="s">
        <v>534</v>
      </c>
      <c r="R130" s="77">
        <v>1</v>
      </c>
      <c r="S130" s="77">
        <v>1</v>
      </c>
      <c r="T130" s="77">
        <v>0</v>
      </c>
      <c r="U130" s="77">
        <v>0</v>
      </c>
      <c r="V130" s="77">
        <v>134</v>
      </c>
      <c r="W130" s="77"/>
      <c r="X130" s="77"/>
      <c r="Y130" s="77"/>
      <c r="Z130" s="77" t="s">
        <v>408</v>
      </c>
      <c r="AA130" s="77"/>
      <c r="AB130" s="77"/>
      <c r="AC130" s="81" t="s">
        <v>674</v>
      </c>
      <c r="AD130" s="77" t="s">
        <v>686</v>
      </c>
      <c r="AE130" s="83" t="str">
        <f>HYPERLINK("https://twitter.com/seiginotora_tm/status/1692929296292356600")</f>
        <v>https://twitter.com/seiginotora_tm/status/1692929296292356600</v>
      </c>
      <c r="AF130" s="79">
        <v>45157.66633101852</v>
      </c>
      <c r="AG130" s="85">
        <v>45157</v>
      </c>
      <c r="AH130" s="81" t="s">
        <v>779</v>
      </c>
      <c r="AI130" s="77"/>
      <c r="AJ130" s="77" t="s">
        <v>828</v>
      </c>
      <c r="AK130" s="77" t="s">
        <v>849</v>
      </c>
      <c r="AL130" s="77" t="s">
        <v>850</v>
      </c>
      <c r="AM130" s="77" t="s">
        <v>852</v>
      </c>
      <c r="AN130" s="77" t="s">
        <v>874</v>
      </c>
      <c r="AO130" s="77" t="s">
        <v>896</v>
      </c>
      <c r="AP130" s="77" t="s">
        <v>917</v>
      </c>
      <c r="AQ130" s="77"/>
      <c r="AR130" s="77"/>
      <c r="AS130" s="77"/>
      <c r="AT130" s="77"/>
      <c r="AU130" s="77"/>
      <c r="AV130" s="83" t="str">
        <f>HYPERLINK("https://pbs.twimg.com/profile_images/1674992788155559936/Gx1lxpRR_normal.jpg")</f>
        <v>https://pbs.twimg.com/profile_images/1674992788155559936/Gx1lxpRR_normal.jpg</v>
      </c>
      <c r="AW130" s="81" t="s">
        <v>1033</v>
      </c>
      <c r="AX130" s="81" t="s">
        <v>1124</v>
      </c>
      <c r="AY130" s="81" t="s">
        <v>1188</v>
      </c>
      <c r="AZ130" s="81" t="s">
        <v>1124</v>
      </c>
      <c r="BA130" s="81" t="s">
        <v>1210</v>
      </c>
      <c r="BB130" s="81" t="s">
        <v>1210</v>
      </c>
      <c r="BC130" s="81" t="s">
        <v>1124</v>
      </c>
      <c r="BD130" s="81" t="s">
        <v>1275</v>
      </c>
      <c r="BE130" s="77"/>
      <c r="BF130" s="77"/>
      <c r="BG130" s="77"/>
      <c r="BH130" s="77"/>
      <c r="BI130" s="77"/>
      <c r="BJ130">
        <v>1</v>
      </c>
      <c r="BK130" s="76" t="str">
        <f>REPLACE(INDEX(GroupVertices[Group],MATCH("~"&amp;Edges[[#This Row],[Vertex 1]],GroupVertices[Vertex],0)),1,1,"")</f>
        <v>36</v>
      </c>
      <c r="BL130" s="76" t="str">
        <f>REPLACE(INDEX(GroupVertices[Group],MATCH("~"&amp;Edges[[#This Row],[Vertex 2]],GroupVertices[Vertex],0)),1,1,"")</f>
        <v>36</v>
      </c>
      <c r="BM130" s="45">
        <v>6</v>
      </c>
      <c r="BN130" s="46">
        <v>10.169491525423728</v>
      </c>
      <c r="BO130" s="45">
        <v>3</v>
      </c>
      <c r="BP130" s="46">
        <v>5.084745762711864</v>
      </c>
      <c r="BQ130" s="45">
        <v>0</v>
      </c>
      <c r="BR130" s="46">
        <v>0</v>
      </c>
      <c r="BS130" s="45">
        <v>14</v>
      </c>
      <c r="BT130" s="46">
        <v>23.728813559322035</v>
      </c>
      <c r="BU130" s="45">
        <v>59</v>
      </c>
    </row>
    <row r="131" spans="1:73" ht="15">
      <c r="A131" s="61" t="s">
        <v>308</v>
      </c>
      <c r="B131" s="61" t="s">
        <v>308</v>
      </c>
      <c r="C131" s="62" t="s">
        <v>11652</v>
      </c>
      <c r="D131" s="63">
        <v>3</v>
      </c>
      <c r="E131" s="64" t="s">
        <v>132</v>
      </c>
      <c r="F131" s="65">
        <v>32</v>
      </c>
      <c r="G131" s="62"/>
      <c r="H131" s="66"/>
      <c r="I131" s="67"/>
      <c r="J131" s="67"/>
      <c r="K131" s="31" t="s">
        <v>65</v>
      </c>
      <c r="L131" s="75">
        <v>131</v>
      </c>
      <c r="M131" s="75"/>
      <c r="N131" s="69"/>
      <c r="O131" s="77" t="s">
        <v>178</v>
      </c>
      <c r="P131" s="79">
        <v>45233.809965277775</v>
      </c>
      <c r="Q131" s="77" t="s">
        <v>535</v>
      </c>
      <c r="R131" s="77">
        <v>0</v>
      </c>
      <c r="S131" s="77">
        <v>0</v>
      </c>
      <c r="T131" s="77">
        <v>0</v>
      </c>
      <c r="U131" s="77">
        <v>0</v>
      </c>
      <c r="V131" s="77">
        <v>34</v>
      </c>
      <c r="W131" s="77"/>
      <c r="X131" s="77"/>
      <c r="Y131" s="77"/>
      <c r="Z131" s="77"/>
      <c r="AA131" s="77"/>
      <c r="AB131" s="77"/>
      <c r="AC131" s="81" t="s">
        <v>674</v>
      </c>
      <c r="AD131" s="77" t="s">
        <v>686</v>
      </c>
      <c r="AE131" s="83" t="str">
        <f>HYPERLINK("https://twitter.com/seiginotora_tm/status/1720522821670175086")</f>
        <v>https://twitter.com/seiginotora_tm/status/1720522821670175086</v>
      </c>
      <c r="AF131" s="79">
        <v>45233.809965277775</v>
      </c>
      <c r="AG131" s="85">
        <v>45233</v>
      </c>
      <c r="AH131" s="81" t="s">
        <v>780</v>
      </c>
      <c r="AI131" s="77"/>
      <c r="AJ131" s="77" t="s">
        <v>828</v>
      </c>
      <c r="AK131" s="77" t="s">
        <v>849</v>
      </c>
      <c r="AL131" s="77" t="s">
        <v>850</v>
      </c>
      <c r="AM131" s="77" t="s">
        <v>852</v>
      </c>
      <c r="AN131" s="77" t="s">
        <v>874</v>
      </c>
      <c r="AO131" s="77" t="s">
        <v>896</v>
      </c>
      <c r="AP131" s="77" t="s">
        <v>917</v>
      </c>
      <c r="AQ131" s="77"/>
      <c r="AR131" s="77"/>
      <c r="AS131" s="77"/>
      <c r="AT131" s="77"/>
      <c r="AU131" s="77"/>
      <c r="AV131" s="83" t="str">
        <f>HYPERLINK("https://pbs.twimg.com/profile_images/1674992788155559936/Gx1lxpRR_normal.jpg")</f>
        <v>https://pbs.twimg.com/profile_images/1674992788155559936/Gx1lxpRR_normal.jpg</v>
      </c>
      <c r="AW131" s="81" t="s">
        <v>1034</v>
      </c>
      <c r="AX131" s="81" t="s">
        <v>1034</v>
      </c>
      <c r="AY131" s="77"/>
      <c r="AZ131" s="81" t="s">
        <v>1210</v>
      </c>
      <c r="BA131" s="81" t="s">
        <v>1210</v>
      </c>
      <c r="BB131" s="81" t="s">
        <v>1210</v>
      </c>
      <c r="BC131" s="81" t="s">
        <v>1034</v>
      </c>
      <c r="BD131" s="81" t="s">
        <v>1275</v>
      </c>
      <c r="BE131" s="77"/>
      <c r="BF131" s="77"/>
      <c r="BG131" s="77"/>
      <c r="BH131" s="77"/>
      <c r="BI131" s="77"/>
      <c r="BJ131">
        <v>1</v>
      </c>
      <c r="BK131" s="76" t="str">
        <f>REPLACE(INDEX(GroupVertices[Group],MATCH("~"&amp;Edges[[#This Row],[Vertex 1]],GroupVertices[Vertex],0)),1,1,"")</f>
        <v>36</v>
      </c>
      <c r="BL131" s="76" t="str">
        <f>REPLACE(INDEX(GroupVertices[Group],MATCH("~"&amp;Edges[[#This Row],[Vertex 2]],GroupVertices[Vertex],0)),1,1,"")</f>
        <v>36</v>
      </c>
      <c r="BM131" s="45">
        <v>1</v>
      </c>
      <c r="BN131" s="46">
        <v>2.9411764705882355</v>
      </c>
      <c r="BO131" s="45">
        <v>3</v>
      </c>
      <c r="BP131" s="46">
        <v>8.823529411764707</v>
      </c>
      <c r="BQ131" s="45">
        <v>0</v>
      </c>
      <c r="BR131" s="46">
        <v>0</v>
      </c>
      <c r="BS131" s="45">
        <v>12</v>
      </c>
      <c r="BT131" s="46">
        <v>35.294117647058826</v>
      </c>
      <c r="BU131" s="45">
        <v>34</v>
      </c>
    </row>
    <row r="132" spans="1:73" ht="15">
      <c r="A132" s="61" t="s">
        <v>309</v>
      </c>
      <c r="B132" s="61" t="s">
        <v>309</v>
      </c>
      <c r="C132" s="62" t="s">
        <v>11652</v>
      </c>
      <c r="D132" s="63">
        <v>3</v>
      </c>
      <c r="E132" s="64" t="s">
        <v>132</v>
      </c>
      <c r="F132" s="65">
        <v>32</v>
      </c>
      <c r="G132" s="62"/>
      <c r="H132" s="66"/>
      <c r="I132" s="67"/>
      <c r="J132" s="67"/>
      <c r="K132" s="31" t="s">
        <v>65</v>
      </c>
      <c r="L132" s="75">
        <v>132</v>
      </c>
      <c r="M132" s="75"/>
      <c r="N132" s="69"/>
      <c r="O132" s="77" t="s">
        <v>178</v>
      </c>
      <c r="P132" s="79">
        <v>44937.1028125</v>
      </c>
      <c r="Q132" s="77" t="s">
        <v>536</v>
      </c>
      <c r="R132" s="77">
        <v>0</v>
      </c>
      <c r="S132" s="77">
        <v>1</v>
      </c>
      <c r="T132" s="77">
        <v>0</v>
      </c>
      <c r="U132" s="77">
        <v>0</v>
      </c>
      <c r="V132" s="77">
        <v>81</v>
      </c>
      <c r="W132" s="77"/>
      <c r="X132" s="77"/>
      <c r="Y132" s="77"/>
      <c r="Z132" s="77"/>
      <c r="AA132" s="77"/>
      <c r="AB132" s="77"/>
      <c r="AC132" s="81" t="s">
        <v>674</v>
      </c>
      <c r="AD132" s="77" t="s">
        <v>686</v>
      </c>
      <c r="AE132" s="83" t="str">
        <f>HYPERLINK("https://twitter.com/nickfent/status/1612999750961463296")</f>
        <v>https://twitter.com/nickfent/status/1612999750961463296</v>
      </c>
      <c r="AF132" s="79">
        <v>44937.1028125</v>
      </c>
      <c r="AG132" s="85">
        <v>44937</v>
      </c>
      <c r="AH132" s="81" t="s">
        <v>781</v>
      </c>
      <c r="AI132" s="77"/>
      <c r="AJ132" s="77" t="s">
        <v>828</v>
      </c>
      <c r="AK132" s="77" t="s">
        <v>849</v>
      </c>
      <c r="AL132" s="77" t="s">
        <v>850</v>
      </c>
      <c r="AM132" s="77" t="s">
        <v>852</v>
      </c>
      <c r="AN132" s="77" t="s">
        <v>874</v>
      </c>
      <c r="AO132" s="77" t="s">
        <v>896</v>
      </c>
      <c r="AP132" s="77" t="s">
        <v>917</v>
      </c>
      <c r="AQ132" s="77"/>
      <c r="AR132" s="77"/>
      <c r="AS132" s="77"/>
      <c r="AT132" s="77"/>
      <c r="AU132" s="77"/>
      <c r="AV132" s="83" t="str">
        <f>HYPERLINK("https://pbs.twimg.com/profile_images/1731427977618190337/6OHyrX1G_normal.jpg")</f>
        <v>https://pbs.twimg.com/profile_images/1731427977618190337/6OHyrX1G_normal.jpg</v>
      </c>
      <c r="AW132" s="81" t="s">
        <v>1035</v>
      </c>
      <c r="AX132" s="81" t="s">
        <v>1035</v>
      </c>
      <c r="AY132" s="77"/>
      <c r="AZ132" s="81" t="s">
        <v>1210</v>
      </c>
      <c r="BA132" s="81" t="s">
        <v>1210</v>
      </c>
      <c r="BB132" s="81" t="s">
        <v>1210</v>
      </c>
      <c r="BC132" s="81" t="s">
        <v>1035</v>
      </c>
      <c r="BD132" s="77">
        <v>2307566251</v>
      </c>
      <c r="BE132" s="77"/>
      <c r="BF132" s="77"/>
      <c r="BG132" s="77"/>
      <c r="BH132" s="77"/>
      <c r="BI132" s="77"/>
      <c r="BJ132">
        <v>1</v>
      </c>
      <c r="BK132" s="76" t="str">
        <f>REPLACE(INDEX(GroupVertices[Group],MATCH("~"&amp;Edges[[#This Row],[Vertex 1]],GroupVertices[Vertex],0)),1,1,"")</f>
        <v>1</v>
      </c>
      <c r="BL132" s="76" t="str">
        <f>REPLACE(INDEX(GroupVertices[Group],MATCH("~"&amp;Edges[[#This Row],[Vertex 2]],GroupVertices[Vertex],0)),1,1,"")</f>
        <v>1</v>
      </c>
      <c r="BM132" s="45">
        <v>0</v>
      </c>
      <c r="BN132" s="46">
        <v>0</v>
      </c>
      <c r="BO132" s="45">
        <v>1</v>
      </c>
      <c r="BP132" s="46">
        <v>2.3255813953488373</v>
      </c>
      <c r="BQ132" s="45">
        <v>0</v>
      </c>
      <c r="BR132" s="46">
        <v>0</v>
      </c>
      <c r="BS132" s="45">
        <v>17</v>
      </c>
      <c r="BT132" s="46">
        <v>39.53488372093023</v>
      </c>
      <c r="BU132" s="45">
        <v>43</v>
      </c>
    </row>
    <row r="133" spans="1:73" ht="15">
      <c r="A133" s="61" t="s">
        <v>310</v>
      </c>
      <c r="B133" s="61" t="s">
        <v>310</v>
      </c>
      <c r="C133" s="62" t="s">
        <v>1410</v>
      </c>
      <c r="D133" s="63">
        <v>10</v>
      </c>
      <c r="E133" s="64" t="s">
        <v>136</v>
      </c>
      <c r="F133" s="65">
        <v>10</v>
      </c>
      <c r="G133" s="62"/>
      <c r="H133" s="66"/>
      <c r="I133" s="67"/>
      <c r="J133" s="67"/>
      <c r="K133" s="31" t="s">
        <v>65</v>
      </c>
      <c r="L133" s="75">
        <v>133</v>
      </c>
      <c r="M133" s="75"/>
      <c r="N133" s="69"/>
      <c r="O133" s="77" t="s">
        <v>178</v>
      </c>
      <c r="P133" s="79">
        <v>44928.99208333333</v>
      </c>
      <c r="Q133" s="77" t="s">
        <v>537</v>
      </c>
      <c r="R133" s="77">
        <v>0</v>
      </c>
      <c r="S133" s="77">
        <v>5</v>
      </c>
      <c r="T133" s="77">
        <v>0</v>
      </c>
      <c r="U133" s="77">
        <v>0</v>
      </c>
      <c r="V133" s="77">
        <v>148</v>
      </c>
      <c r="W133" s="77"/>
      <c r="X133" s="77"/>
      <c r="Y133" s="77"/>
      <c r="Z133" s="77"/>
      <c r="AA133" s="77"/>
      <c r="AB133" s="77"/>
      <c r="AC133" s="81" t="s">
        <v>674</v>
      </c>
      <c r="AD133" s="77" t="s">
        <v>686</v>
      </c>
      <c r="AE133" s="83" t="str">
        <f>HYPERLINK("https://twitter.com/oddswithgop/status/1610060521012891648")</f>
        <v>https://twitter.com/oddswithgop/status/1610060521012891648</v>
      </c>
      <c r="AF133" s="79">
        <v>44928.99208333333</v>
      </c>
      <c r="AG133" s="85">
        <v>44928</v>
      </c>
      <c r="AH133" s="81" t="s">
        <v>782</v>
      </c>
      <c r="AI133" s="77"/>
      <c r="AJ133" s="77" t="s">
        <v>845</v>
      </c>
      <c r="AK133" s="77" t="s">
        <v>849</v>
      </c>
      <c r="AL133" s="77" t="s">
        <v>850</v>
      </c>
      <c r="AM133" s="77" t="s">
        <v>869</v>
      </c>
      <c r="AN133" s="77" t="s">
        <v>891</v>
      </c>
      <c r="AO133" s="77" t="s">
        <v>913</v>
      </c>
      <c r="AP133" s="77" t="s">
        <v>917</v>
      </c>
      <c r="AQ133" s="77"/>
      <c r="AR133" s="77"/>
      <c r="AS133" s="77"/>
      <c r="AT133" s="77"/>
      <c r="AU133" s="77"/>
      <c r="AV133" s="83" t="str">
        <f>HYPERLINK("https://pbs.twimg.com/profile_images/1520272245645475840/Q6FI7o5t_normal.jpg")</f>
        <v>https://pbs.twimg.com/profile_images/1520272245645475840/Q6FI7o5t_normal.jpg</v>
      </c>
      <c r="AW133" s="81" t="s">
        <v>1036</v>
      </c>
      <c r="AX133" s="81" t="s">
        <v>1036</v>
      </c>
      <c r="AY133" s="77"/>
      <c r="AZ133" s="81" t="s">
        <v>1210</v>
      </c>
      <c r="BA133" s="81" t="s">
        <v>1210</v>
      </c>
      <c r="BB133" s="81" t="s">
        <v>1210</v>
      </c>
      <c r="BC133" s="81" t="s">
        <v>1036</v>
      </c>
      <c r="BD133" s="81" t="s">
        <v>1276</v>
      </c>
      <c r="BE133" s="77"/>
      <c r="BF133" s="77"/>
      <c r="BG133" s="77"/>
      <c r="BH133" s="77"/>
      <c r="BI133" s="77"/>
      <c r="BJ133">
        <v>7</v>
      </c>
      <c r="BK133" s="76" t="str">
        <f>REPLACE(INDEX(GroupVertices[Group],MATCH("~"&amp;Edges[[#This Row],[Vertex 1]],GroupVertices[Vertex],0)),1,1,"")</f>
        <v>1</v>
      </c>
      <c r="BL133" s="76" t="str">
        <f>REPLACE(INDEX(GroupVertices[Group],MATCH("~"&amp;Edges[[#This Row],[Vertex 2]],GroupVertices[Vertex],0)),1,1,"")</f>
        <v>1</v>
      </c>
      <c r="BM133" s="45">
        <v>0</v>
      </c>
      <c r="BN133" s="46">
        <v>0</v>
      </c>
      <c r="BO133" s="45">
        <v>5</v>
      </c>
      <c r="BP133" s="46">
        <v>10.869565217391305</v>
      </c>
      <c r="BQ133" s="45">
        <v>0</v>
      </c>
      <c r="BR133" s="46">
        <v>0</v>
      </c>
      <c r="BS133" s="45">
        <v>20</v>
      </c>
      <c r="BT133" s="46">
        <v>43.47826086956522</v>
      </c>
      <c r="BU133" s="45">
        <v>46</v>
      </c>
    </row>
    <row r="134" spans="1:73" ht="15">
      <c r="A134" s="61" t="s">
        <v>310</v>
      </c>
      <c r="B134" s="61" t="s">
        <v>310</v>
      </c>
      <c r="C134" s="62" t="s">
        <v>1410</v>
      </c>
      <c r="D134" s="63">
        <v>10</v>
      </c>
      <c r="E134" s="64" t="s">
        <v>136</v>
      </c>
      <c r="F134" s="65">
        <v>10</v>
      </c>
      <c r="G134" s="62"/>
      <c r="H134" s="66"/>
      <c r="I134" s="67"/>
      <c r="J134" s="67"/>
      <c r="K134" s="31" t="s">
        <v>65</v>
      </c>
      <c r="L134" s="75">
        <v>134</v>
      </c>
      <c r="M134" s="75"/>
      <c r="N134" s="69"/>
      <c r="O134" s="77" t="s">
        <v>178</v>
      </c>
      <c r="P134" s="79">
        <v>44942.99146990741</v>
      </c>
      <c r="Q134" s="77" t="s">
        <v>538</v>
      </c>
      <c r="R134" s="77">
        <v>12</v>
      </c>
      <c r="S134" s="77">
        <v>19</v>
      </c>
      <c r="T134" s="77">
        <v>3</v>
      </c>
      <c r="U134" s="77">
        <v>0</v>
      </c>
      <c r="V134" s="77">
        <v>447</v>
      </c>
      <c r="W134" s="77"/>
      <c r="X134" s="77"/>
      <c r="Y134" s="77"/>
      <c r="Z134" s="77"/>
      <c r="AA134" s="77"/>
      <c r="AB134" s="77"/>
      <c r="AC134" s="81" t="s">
        <v>674</v>
      </c>
      <c r="AD134" s="77" t="s">
        <v>686</v>
      </c>
      <c r="AE134" s="83" t="str">
        <f>HYPERLINK("https://twitter.com/oddswithgop/status/1615133728845754368")</f>
        <v>https://twitter.com/oddswithgop/status/1615133728845754368</v>
      </c>
      <c r="AF134" s="79">
        <v>44942.99146990741</v>
      </c>
      <c r="AG134" s="85">
        <v>44942</v>
      </c>
      <c r="AH134" s="81" t="s">
        <v>783</v>
      </c>
      <c r="AI134" s="77"/>
      <c r="AJ134" s="77" t="s">
        <v>846</v>
      </c>
      <c r="AK134" s="77" t="s">
        <v>849</v>
      </c>
      <c r="AL134" s="77" t="s">
        <v>850</v>
      </c>
      <c r="AM134" s="77" t="s">
        <v>870</v>
      </c>
      <c r="AN134" s="77" t="s">
        <v>892</v>
      </c>
      <c r="AO134" s="77" t="s">
        <v>914</v>
      </c>
      <c r="AP134" s="77" t="s">
        <v>917</v>
      </c>
      <c r="AQ134" s="77"/>
      <c r="AR134" s="77"/>
      <c r="AS134" s="77"/>
      <c r="AT134" s="77"/>
      <c r="AU134" s="77"/>
      <c r="AV134" s="83" t="str">
        <f>HYPERLINK("https://pbs.twimg.com/profile_images/1520272245645475840/Q6FI7o5t_normal.jpg")</f>
        <v>https://pbs.twimg.com/profile_images/1520272245645475840/Q6FI7o5t_normal.jpg</v>
      </c>
      <c r="AW134" s="81" t="s">
        <v>1037</v>
      </c>
      <c r="AX134" s="81" t="s">
        <v>1037</v>
      </c>
      <c r="AY134" s="77"/>
      <c r="AZ134" s="81" t="s">
        <v>1210</v>
      </c>
      <c r="BA134" s="81" t="s">
        <v>1210</v>
      </c>
      <c r="BB134" s="81" t="s">
        <v>1210</v>
      </c>
      <c r="BC134" s="81" t="s">
        <v>1037</v>
      </c>
      <c r="BD134" s="81" t="s">
        <v>1276</v>
      </c>
      <c r="BE134" s="77"/>
      <c r="BF134" s="77"/>
      <c r="BG134" s="77"/>
      <c r="BH134" s="77"/>
      <c r="BI134" s="77"/>
      <c r="BJ134">
        <v>7</v>
      </c>
      <c r="BK134" s="76" t="str">
        <f>REPLACE(INDEX(GroupVertices[Group],MATCH("~"&amp;Edges[[#This Row],[Vertex 1]],GroupVertices[Vertex],0)),1,1,"")</f>
        <v>1</v>
      </c>
      <c r="BL134" s="76" t="str">
        <f>REPLACE(INDEX(GroupVertices[Group],MATCH("~"&amp;Edges[[#This Row],[Vertex 2]],GroupVertices[Vertex],0)),1,1,"")</f>
        <v>1</v>
      </c>
      <c r="BM134" s="45">
        <v>0</v>
      </c>
      <c r="BN134" s="46">
        <v>0</v>
      </c>
      <c r="BO134" s="45">
        <v>1</v>
      </c>
      <c r="BP134" s="46">
        <v>2.857142857142857</v>
      </c>
      <c r="BQ134" s="45">
        <v>0</v>
      </c>
      <c r="BR134" s="46">
        <v>0</v>
      </c>
      <c r="BS134" s="45">
        <v>16</v>
      </c>
      <c r="BT134" s="46">
        <v>45.714285714285715</v>
      </c>
      <c r="BU134" s="45">
        <v>35</v>
      </c>
    </row>
    <row r="135" spans="1:73" ht="15">
      <c r="A135" s="61" t="s">
        <v>310</v>
      </c>
      <c r="B135" s="61" t="s">
        <v>310</v>
      </c>
      <c r="C135" s="62" t="s">
        <v>1410</v>
      </c>
      <c r="D135" s="63">
        <v>10</v>
      </c>
      <c r="E135" s="64" t="s">
        <v>136</v>
      </c>
      <c r="F135" s="65">
        <v>10</v>
      </c>
      <c r="G135" s="62"/>
      <c r="H135" s="66"/>
      <c r="I135" s="67"/>
      <c r="J135" s="67"/>
      <c r="K135" s="31" t="s">
        <v>65</v>
      </c>
      <c r="L135" s="75">
        <v>135</v>
      </c>
      <c r="M135" s="75"/>
      <c r="N135" s="69"/>
      <c r="O135" s="77" t="s">
        <v>178</v>
      </c>
      <c r="P135" s="79">
        <v>44942.98732638889</v>
      </c>
      <c r="Q135" s="77" t="s">
        <v>539</v>
      </c>
      <c r="R135" s="77">
        <v>13</v>
      </c>
      <c r="S135" s="77">
        <v>50</v>
      </c>
      <c r="T135" s="77">
        <v>3</v>
      </c>
      <c r="U135" s="77">
        <v>0</v>
      </c>
      <c r="V135" s="77">
        <v>435</v>
      </c>
      <c r="W135" s="77"/>
      <c r="X135" s="77"/>
      <c r="Y135" s="77"/>
      <c r="Z135" s="77"/>
      <c r="AA135" s="77"/>
      <c r="AB135" s="77"/>
      <c r="AC135" s="81" t="s">
        <v>674</v>
      </c>
      <c r="AD135" s="77" t="s">
        <v>686</v>
      </c>
      <c r="AE135" s="83" t="str">
        <f>HYPERLINK("https://twitter.com/oddswithgop/status/1615132228710985728")</f>
        <v>https://twitter.com/oddswithgop/status/1615132228710985728</v>
      </c>
      <c r="AF135" s="79">
        <v>44942.98732638889</v>
      </c>
      <c r="AG135" s="85">
        <v>44942</v>
      </c>
      <c r="AH135" s="81" t="s">
        <v>784</v>
      </c>
      <c r="AI135" s="77"/>
      <c r="AJ135" s="77" t="s">
        <v>846</v>
      </c>
      <c r="AK135" s="77" t="s">
        <v>849</v>
      </c>
      <c r="AL135" s="77" t="s">
        <v>850</v>
      </c>
      <c r="AM135" s="77" t="s">
        <v>870</v>
      </c>
      <c r="AN135" s="77" t="s">
        <v>892</v>
      </c>
      <c r="AO135" s="77" t="s">
        <v>914</v>
      </c>
      <c r="AP135" s="77" t="s">
        <v>917</v>
      </c>
      <c r="AQ135" s="77"/>
      <c r="AR135" s="77"/>
      <c r="AS135" s="77"/>
      <c r="AT135" s="77"/>
      <c r="AU135" s="77"/>
      <c r="AV135" s="83" t="str">
        <f>HYPERLINK("https://pbs.twimg.com/profile_images/1520272245645475840/Q6FI7o5t_normal.jpg")</f>
        <v>https://pbs.twimg.com/profile_images/1520272245645475840/Q6FI7o5t_normal.jpg</v>
      </c>
      <c r="AW135" s="81" t="s">
        <v>1038</v>
      </c>
      <c r="AX135" s="81" t="s">
        <v>1038</v>
      </c>
      <c r="AY135" s="77"/>
      <c r="AZ135" s="81" t="s">
        <v>1210</v>
      </c>
      <c r="BA135" s="81" t="s">
        <v>1210</v>
      </c>
      <c r="BB135" s="81" t="s">
        <v>1210</v>
      </c>
      <c r="BC135" s="81" t="s">
        <v>1038</v>
      </c>
      <c r="BD135" s="81" t="s">
        <v>1276</v>
      </c>
      <c r="BE135" s="77"/>
      <c r="BF135" s="77"/>
      <c r="BG135" s="77"/>
      <c r="BH135" s="77"/>
      <c r="BI135" s="77"/>
      <c r="BJ135">
        <v>7</v>
      </c>
      <c r="BK135" s="76" t="str">
        <f>REPLACE(INDEX(GroupVertices[Group],MATCH("~"&amp;Edges[[#This Row],[Vertex 1]],GroupVertices[Vertex],0)),1,1,"")</f>
        <v>1</v>
      </c>
      <c r="BL135" s="76" t="str">
        <f>REPLACE(INDEX(GroupVertices[Group],MATCH("~"&amp;Edges[[#This Row],[Vertex 2]],GroupVertices[Vertex],0)),1,1,"")</f>
        <v>1</v>
      </c>
      <c r="BM135" s="45">
        <v>0</v>
      </c>
      <c r="BN135" s="46">
        <v>0</v>
      </c>
      <c r="BO135" s="45">
        <v>3</v>
      </c>
      <c r="BP135" s="46">
        <v>20</v>
      </c>
      <c r="BQ135" s="45">
        <v>0</v>
      </c>
      <c r="BR135" s="46">
        <v>0</v>
      </c>
      <c r="BS135" s="45">
        <v>6</v>
      </c>
      <c r="BT135" s="46">
        <v>40</v>
      </c>
      <c r="BU135" s="45">
        <v>15</v>
      </c>
    </row>
    <row r="136" spans="1:73" ht="15">
      <c r="A136" s="61" t="s">
        <v>310</v>
      </c>
      <c r="B136" s="61" t="s">
        <v>310</v>
      </c>
      <c r="C136" s="62" t="s">
        <v>1410</v>
      </c>
      <c r="D136" s="63">
        <v>10</v>
      </c>
      <c r="E136" s="64" t="s">
        <v>136</v>
      </c>
      <c r="F136" s="65">
        <v>10</v>
      </c>
      <c r="G136" s="62"/>
      <c r="H136" s="66"/>
      <c r="I136" s="67"/>
      <c r="J136" s="67"/>
      <c r="K136" s="31" t="s">
        <v>65</v>
      </c>
      <c r="L136" s="75">
        <v>136</v>
      </c>
      <c r="M136" s="75"/>
      <c r="N136" s="69"/>
      <c r="O136" s="77" t="s">
        <v>178</v>
      </c>
      <c r="P136" s="79">
        <v>44969.00780092592</v>
      </c>
      <c r="Q136" s="77" t="s">
        <v>540</v>
      </c>
      <c r="R136" s="77">
        <v>8</v>
      </c>
      <c r="S136" s="77">
        <v>24</v>
      </c>
      <c r="T136" s="77">
        <v>3</v>
      </c>
      <c r="U136" s="77">
        <v>0</v>
      </c>
      <c r="V136" s="77">
        <v>559</v>
      </c>
      <c r="W136" s="77"/>
      <c r="X136" s="77"/>
      <c r="Y136" s="77"/>
      <c r="Z136" s="77"/>
      <c r="AA136" s="77"/>
      <c r="AB136" s="77"/>
      <c r="AC136" s="81" t="s">
        <v>674</v>
      </c>
      <c r="AD136" s="77" t="s">
        <v>686</v>
      </c>
      <c r="AE136" s="83" t="str">
        <f>HYPERLINK("https://twitter.com/oddswithgop/status/1624561730180517888")</f>
        <v>https://twitter.com/oddswithgop/status/1624561730180517888</v>
      </c>
      <c r="AF136" s="79">
        <v>44969.00780092592</v>
      </c>
      <c r="AG136" s="85">
        <v>44969</v>
      </c>
      <c r="AH136" s="81" t="s">
        <v>785</v>
      </c>
      <c r="AI136" s="77"/>
      <c r="AJ136" s="77" t="s">
        <v>838</v>
      </c>
      <c r="AK136" s="77" t="s">
        <v>849</v>
      </c>
      <c r="AL136" s="77" t="s">
        <v>850</v>
      </c>
      <c r="AM136" s="77" t="s">
        <v>862</v>
      </c>
      <c r="AN136" s="77" t="s">
        <v>884</v>
      </c>
      <c r="AO136" s="77" t="s">
        <v>906</v>
      </c>
      <c r="AP136" s="77" t="s">
        <v>917</v>
      </c>
      <c r="AQ136" s="77"/>
      <c r="AR136" s="77"/>
      <c r="AS136" s="77"/>
      <c r="AT136" s="77"/>
      <c r="AU136" s="77"/>
      <c r="AV136" s="83" t="str">
        <f>HYPERLINK("https://pbs.twimg.com/profile_images/1520272245645475840/Q6FI7o5t_normal.jpg")</f>
        <v>https://pbs.twimg.com/profile_images/1520272245645475840/Q6FI7o5t_normal.jpg</v>
      </c>
      <c r="AW136" s="81" t="s">
        <v>1039</v>
      </c>
      <c r="AX136" s="81" t="s">
        <v>1039</v>
      </c>
      <c r="AY136" s="77"/>
      <c r="AZ136" s="81" t="s">
        <v>1210</v>
      </c>
      <c r="BA136" s="81" t="s">
        <v>1210</v>
      </c>
      <c r="BB136" s="81" t="s">
        <v>1210</v>
      </c>
      <c r="BC136" s="81" t="s">
        <v>1039</v>
      </c>
      <c r="BD136" s="81" t="s">
        <v>1276</v>
      </c>
      <c r="BE136" s="77"/>
      <c r="BF136" s="77"/>
      <c r="BG136" s="77"/>
      <c r="BH136" s="77"/>
      <c r="BI136" s="77"/>
      <c r="BJ136">
        <v>7</v>
      </c>
      <c r="BK136" s="76" t="str">
        <f>REPLACE(INDEX(GroupVertices[Group],MATCH("~"&amp;Edges[[#This Row],[Vertex 1]],GroupVertices[Vertex],0)),1,1,"")</f>
        <v>1</v>
      </c>
      <c r="BL136" s="76" t="str">
        <f>REPLACE(INDEX(GroupVertices[Group],MATCH("~"&amp;Edges[[#This Row],[Vertex 2]],GroupVertices[Vertex],0)),1,1,"")</f>
        <v>1</v>
      </c>
      <c r="BM136" s="45">
        <v>0</v>
      </c>
      <c r="BN136" s="46">
        <v>0</v>
      </c>
      <c r="BO136" s="45">
        <v>5</v>
      </c>
      <c r="BP136" s="46">
        <v>19.23076923076923</v>
      </c>
      <c r="BQ136" s="45">
        <v>0</v>
      </c>
      <c r="BR136" s="46">
        <v>0</v>
      </c>
      <c r="BS136" s="45">
        <v>12</v>
      </c>
      <c r="BT136" s="46">
        <v>46.15384615384615</v>
      </c>
      <c r="BU136" s="45">
        <v>26</v>
      </c>
    </row>
    <row r="137" spans="1:73" ht="15">
      <c r="A137" s="61" t="s">
        <v>310</v>
      </c>
      <c r="B137" s="61" t="s">
        <v>310</v>
      </c>
      <c r="C137" s="62" t="s">
        <v>1410</v>
      </c>
      <c r="D137" s="63">
        <v>10</v>
      </c>
      <c r="E137" s="64" t="s">
        <v>136</v>
      </c>
      <c r="F137" s="65">
        <v>10</v>
      </c>
      <c r="G137" s="62"/>
      <c r="H137" s="66"/>
      <c r="I137" s="67"/>
      <c r="J137" s="67"/>
      <c r="K137" s="31" t="s">
        <v>65</v>
      </c>
      <c r="L137" s="75">
        <v>137</v>
      </c>
      <c r="M137" s="75"/>
      <c r="N137" s="69"/>
      <c r="O137" s="77" t="s">
        <v>178</v>
      </c>
      <c r="P137" s="79">
        <v>45148.97046296296</v>
      </c>
      <c r="Q137" s="77" t="s">
        <v>541</v>
      </c>
      <c r="R137" s="77">
        <v>0</v>
      </c>
      <c r="S137" s="77">
        <v>0</v>
      </c>
      <c r="T137" s="77">
        <v>0</v>
      </c>
      <c r="U137" s="77">
        <v>0</v>
      </c>
      <c r="V137" s="77">
        <v>177</v>
      </c>
      <c r="W137" s="77"/>
      <c r="X137" s="77"/>
      <c r="Y137" s="77"/>
      <c r="Z137" s="77"/>
      <c r="AA137" s="77"/>
      <c r="AB137" s="77"/>
      <c r="AC137" s="81" t="s">
        <v>674</v>
      </c>
      <c r="AD137" s="77" t="s">
        <v>686</v>
      </c>
      <c r="AE137" s="83" t="str">
        <f>HYPERLINK("https://twitter.com/oddswithgop/status/1689778018502561795")</f>
        <v>https://twitter.com/oddswithgop/status/1689778018502561795</v>
      </c>
      <c r="AF137" s="79">
        <v>45148.97046296296</v>
      </c>
      <c r="AG137" s="85">
        <v>45148</v>
      </c>
      <c r="AH137" s="81" t="s">
        <v>786</v>
      </c>
      <c r="AI137" s="77"/>
      <c r="AJ137" s="77" t="s">
        <v>829</v>
      </c>
      <c r="AK137" s="77" t="s">
        <v>849</v>
      </c>
      <c r="AL137" s="77" t="s">
        <v>850</v>
      </c>
      <c r="AM137" s="77" t="s">
        <v>853</v>
      </c>
      <c r="AN137" s="77" t="s">
        <v>875</v>
      </c>
      <c r="AO137" s="77" t="s">
        <v>897</v>
      </c>
      <c r="AP137" s="77" t="s">
        <v>917</v>
      </c>
      <c r="AQ137" s="77"/>
      <c r="AR137" s="77"/>
      <c r="AS137" s="77"/>
      <c r="AT137" s="77"/>
      <c r="AU137" s="77"/>
      <c r="AV137" s="83" t="str">
        <f>HYPERLINK("https://pbs.twimg.com/profile_images/1520272245645475840/Q6FI7o5t_normal.jpg")</f>
        <v>https://pbs.twimg.com/profile_images/1520272245645475840/Q6FI7o5t_normal.jpg</v>
      </c>
      <c r="AW137" s="81" t="s">
        <v>1040</v>
      </c>
      <c r="AX137" s="81" t="s">
        <v>1040</v>
      </c>
      <c r="AY137" s="77"/>
      <c r="AZ137" s="81" t="s">
        <v>1210</v>
      </c>
      <c r="BA137" s="81" t="s">
        <v>1210</v>
      </c>
      <c r="BB137" s="81" t="s">
        <v>1210</v>
      </c>
      <c r="BC137" s="81" t="s">
        <v>1040</v>
      </c>
      <c r="BD137" s="81" t="s">
        <v>1276</v>
      </c>
      <c r="BE137" s="77"/>
      <c r="BF137" s="77"/>
      <c r="BG137" s="77"/>
      <c r="BH137" s="77"/>
      <c r="BI137" s="77"/>
      <c r="BJ137">
        <v>7</v>
      </c>
      <c r="BK137" s="76" t="str">
        <f>REPLACE(INDEX(GroupVertices[Group],MATCH("~"&amp;Edges[[#This Row],[Vertex 1]],GroupVertices[Vertex],0)),1,1,"")</f>
        <v>1</v>
      </c>
      <c r="BL137" s="76" t="str">
        <f>REPLACE(INDEX(GroupVertices[Group],MATCH("~"&amp;Edges[[#This Row],[Vertex 2]],GroupVertices[Vertex],0)),1,1,"")</f>
        <v>1</v>
      </c>
      <c r="BM137" s="45">
        <v>1</v>
      </c>
      <c r="BN137" s="46">
        <v>2.127659574468085</v>
      </c>
      <c r="BO137" s="45">
        <v>4</v>
      </c>
      <c r="BP137" s="46">
        <v>8.51063829787234</v>
      </c>
      <c r="BQ137" s="45">
        <v>0</v>
      </c>
      <c r="BR137" s="46">
        <v>0</v>
      </c>
      <c r="BS137" s="45">
        <v>24</v>
      </c>
      <c r="BT137" s="46">
        <v>51.06382978723404</v>
      </c>
      <c r="BU137" s="45">
        <v>47</v>
      </c>
    </row>
    <row r="138" spans="1:73" ht="15">
      <c r="A138" s="61" t="s">
        <v>310</v>
      </c>
      <c r="B138" s="61" t="s">
        <v>310</v>
      </c>
      <c r="C138" s="62" t="s">
        <v>1410</v>
      </c>
      <c r="D138" s="63">
        <v>10</v>
      </c>
      <c r="E138" s="64" t="s">
        <v>136</v>
      </c>
      <c r="F138" s="65">
        <v>10</v>
      </c>
      <c r="G138" s="62"/>
      <c r="H138" s="66"/>
      <c r="I138" s="67"/>
      <c r="J138" s="67"/>
      <c r="K138" s="31" t="s">
        <v>65</v>
      </c>
      <c r="L138" s="75">
        <v>138</v>
      </c>
      <c r="M138" s="75"/>
      <c r="N138" s="69"/>
      <c r="O138" s="77" t="s">
        <v>178</v>
      </c>
      <c r="P138" s="79">
        <v>44965.00131944445</v>
      </c>
      <c r="Q138" s="77" t="s">
        <v>542</v>
      </c>
      <c r="R138" s="77">
        <v>8</v>
      </c>
      <c r="S138" s="77">
        <v>32</v>
      </c>
      <c r="T138" s="77">
        <v>7</v>
      </c>
      <c r="U138" s="77">
        <v>0</v>
      </c>
      <c r="V138" s="77">
        <v>844</v>
      </c>
      <c r="W138" s="77"/>
      <c r="X138" s="77"/>
      <c r="Y138" s="77"/>
      <c r="Z138" s="77"/>
      <c r="AA138" s="77"/>
      <c r="AB138" s="77"/>
      <c r="AC138" s="81" t="s">
        <v>674</v>
      </c>
      <c r="AD138" s="77" t="s">
        <v>686</v>
      </c>
      <c r="AE138" s="83" t="str">
        <f>HYPERLINK("https://twitter.com/oddswithgop/status/1623109832999055360")</f>
        <v>https://twitter.com/oddswithgop/status/1623109832999055360</v>
      </c>
      <c r="AF138" s="79">
        <v>44965.00131944445</v>
      </c>
      <c r="AG138" s="85">
        <v>44965</v>
      </c>
      <c r="AH138" s="81" t="s">
        <v>787</v>
      </c>
      <c r="AI138" s="77"/>
      <c r="AJ138" s="77" t="s">
        <v>846</v>
      </c>
      <c r="AK138" s="77" t="s">
        <v>849</v>
      </c>
      <c r="AL138" s="77" t="s">
        <v>850</v>
      </c>
      <c r="AM138" s="77" t="s">
        <v>870</v>
      </c>
      <c r="AN138" s="77" t="s">
        <v>892</v>
      </c>
      <c r="AO138" s="77" t="s">
        <v>914</v>
      </c>
      <c r="AP138" s="77" t="s">
        <v>917</v>
      </c>
      <c r="AQ138" s="77"/>
      <c r="AR138" s="77"/>
      <c r="AS138" s="77"/>
      <c r="AT138" s="77"/>
      <c r="AU138" s="77"/>
      <c r="AV138" s="83" t="str">
        <f>HYPERLINK("https://pbs.twimg.com/profile_images/1520272245645475840/Q6FI7o5t_normal.jpg")</f>
        <v>https://pbs.twimg.com/profile_images/1520272245645475840/Q6FI7o5t_normal.jpg</v>
      </c>
      <c r="AW138" s="81" t="s">
        <v>1041</v>
      </c>
      <c r="AX138" s="81" t="s">
        <v>1041</v>
      </c>
      <c r="AY138" s="77"/>
      <c r="AZ138" s="81" t="s">
        <v>1210</v>
      </c>
      <c r="BA138" s="81" t="s">
        <v>1210</v>
      </c>
      <c r="BB138" s="81" t="s">
        <v>1210</v>
      </c>
      <c r="BC138" s="81" t="s">
        <v>1041</v>
      </c>
      <c r="BD138" s="81" t="s">
        <v>1276</v>
      </c>
      <c r="BE138" s="77"/>
      <c r="BF138" s="77"/>
      <c r="BG138" s="77"/>
      <c r="BH138" s="77"/>
      <c r="BI138" s="77"/>
      <c r="BJ138">
        <v>7</v>
      </c>
      <c r="BK138" s="76" t="str">
        <f>REPLACE(INDEX(GroupVertices[Group],MATCH("~"&amp;Edges[[#This Row],[Vertex 1]],GroupVertices[Vertex],0)),1,1,"")</f>
        <v>1</v>
      </c>
      <c r="BL138" s="76" t="str">
        <f>REPLACE(INDEX(GroupVertices[Group],MATCH("~"&amp;Edges[[#This Row],[Vertex 2]],GroupVertices[Vertex],0)),1,1,"")</f>
        <v>1</v>
      </c>
      <c r="BM138" s="45">
        <v>0</v>
      </c>
      <c r="BN138" s="46">
        <v>0</v>
      </c>
      <c r="BO138" s="45">
        <v>2</v>
      </c>
      <c r="BP138" s="46">
        <v>4.081632653061225</v>
      </c>
      <c r="BQ138" s="45">
        <v>0</v>
      </c>
      <c r="BR138" s="46">
        <v>0</v>
      </c>
      <c r="BS138" s="45">
        <v>26</v>
      </c>
      <c r="BT138" s="46">
        <v>53.06122448979592</v>
      </c>
      <c r="BU138" s="45">
        <v>49</v>
      </c>
    </row>
    <row r="139" spans="1:73" ht="15">
      <c r="A139" s="61" t="s">
        <v>310</v>
      </c>
      <c r="B139" s="61" t="s">
        <v>310</v>
      </c>
      <c r="C139" s="62" t="s">
        <v>1410</v>
      </c>
      <c r="D139" s="63">
        <v>10</v>
      </c>
      <c r="E139" s="64" t="s">
        <v>136</v>
      </c>
      <c r="F139" s="65">
        <v>10</v>
      </c>
      <c r="G139" s="62"/>
      <c r="H139" s="66"/>
      <c r="I139" s="67"/>
      <c r="J139" s="67"/>
      <c r="K139" s="31" t="s">
        <v>65</v>
      </c>
      <c r="L139" s="75">
        <v>139</v>
      </c>
      <c r="M139" s="75"/>
      <c r="N139" s="69"/>
      <c r="O139" s="77" t="s">
        <v>178</v>
      </c>
      <c r="P139" s="79">
        <v>45154.12341435185</v>
      </c>
      <c r="Q139" s="77" t="s">
        <v>543</v>
      </c>
      <c r="R139" s="77">
        <v>1</v>
      </c>
      <c r="S139" s="77">
        <v>7</v>
      </c>
      <c r="T139" s="77">
        <v>1</v>
      </c>
      <c r="U139" s="77">
        <v>0</v>
      </c>
      <c r="V139" s="77">
        <v>94</v>
      </c>
      <c r="W139" s="77"/>
      <c r="X139" s="77"/>
      <c r="Y139" s="77"/>
      <c r="Z139" s="77"/>
      <c r="AA139" s="77"/>
      <c r="AB139" s="77"/>
      <c r="AC139" s="81" t="s">
        <v>674</v>
      </c>
      <c r="AD139" s="77" t="s">
        <v>686</v>
      </c>
      <c r="AE139" s="83" t="str">
        <f>HYPERLINK("https://twitter.com/oddswithgop/status/1691645384270192841")</f>
        <v>https://twitter.com/oddswithgop/status/1691645384270192841</v>
      </c>
      <c r="AF139" s="79">
        <v>45154.12341435185</v>
      </c>
      <c r="AG139" s="85">
        <v>45154</v>
      </c>
      <c r="AH139" s="81" t="s">
        <v>788</v>
      </c>
      <c r="AI139" s="77"/>
      <c r="AJ139" s="77" t="s">
        <v>845</v>
      </c>
      <c r="AK139" s="77" t="s">
        <v>849</v>
      </c>
      <c r="AL139" s="77" t="s">
        <v>850</v>
      </c>
      <c r="AM139" s="77" t="s">
        <v>869</v>
      </c>
      <c r="AN139" s="77" t="s">
        <v>891</v>
      </c>
      <c r="AO139" s="77" t="s">
        <v>913</v>
      </c>
      <c r="AP139" s="77" t="s">
        <v>917</v>
      </c>
      <c r="AQ139" s="77"/>
      <c r="AR139" s="77"/>
      <c r="AS139" s="77"/>
      <c r="AT139" s="77"/>
      <c r="AU139" s="77"/>
      <c r="AV139" s="83" t="str">
        <f>HYPERLINK("https://pbs.twimg.com/profile_images/1520272245645475840/Q6FI7o5t_normal.jpg")</f>
        <v>https://pbs.twimg.com/profile_images/1520272245645475840/Q6FI7o5t_normal.jpg</v>
      </c>
      <c r="AW139" s="81" t="s">
        <v>1042</v>
      </c>
      <c r="AX139" s="81" t="s">
        <v>1042</v>
      </c>
      <c r="AY139" s="77"/>
      <c r="AZ139" s="81" t="s">
        <v>1210</v>
      </c>
      <c r="BA139" s="81" t="s">
        <v>1210</v>
      </c>
      <c r="BB139" s="81" t="s">
        <v>1210</v>
      </c>
      <c r="BC139" s="81" t="s">
        <v>1042</v>
      </c>
      <c r="BD139" s="81" t="s">
        <v>1276</v>
      </c>
      <c r="BE139" s="77"/>
      <c r="BF139" s="77"/>
      <c r="BG139" s="77"/>
      <c r="BH139" s="77"/>
      <c r="BI139" s="77"/>
      <c r="BJ139">
        <v>7</v>
      </c>
      <c r="BK139" s="76" t="str">
        <f>REPLACE(INDEX(GroupVertices[Group],MATCH("~"&amp;Edges[[#This Row],[Vertex 1]],GroupVertices[Vertex],0)),1,1,"")</f>
        <v>1</v>
      </c>
      <c r="BL139" s="76" t="str">
        <f>REPLACE(INDEX(GroupVertices[Group],MATCH("~"&amp;Edges[[#This Row],[Vertex 2]],GroupVertices[Vertex],0)),1,1,"")</f>
        <v>1</v>
      </c>
      <c r="BM139" s="45">
        <v>0</v>
      </c>
      <c r="BN139" s="46">
        <v>0</v>
      </c>
      <c r="BO139" s="45">
        <v>3</v>
      </c>
      <c r="BP139" s="46">
        <v>6</v>
      </c>
      <c r="BQ139" s="45">
        <v>0</v>
      </c>
      <c r="BR139" s="46">
        <v>0</v>
      </c>
      <c r="BS139" s="45">
        <v>25</v>
      </c>
      <c r="BT139" s="46">
        <v>50</v>
      </c>
      <c r="BU139" s="45">
        <v>50</v>
      </c>
    </row>
    <row r="140" spans="1:73" ht="15">
      <c r="A140" s="61" t="s">
        <v>311</v>
      </c>
      <c r="B140" s="61" t="s">
        <v>409</v>
      </c>
      <c r="C140" s="62" t="s">
        <v>11652</v>
      </c>
      <c r="D140" s="63">
        <v>3</v>
      </c>
      <c r="E140" s="64" t="s">
        <v>132</v>
      </c>
      <c r="F140" s="65">
        <v>32</v>
      </c>
      <c r="G140" s="62"/>
      <c r="H140" s="66"/>
      <c r="I140" s="67"/>
      <c r="J140" s="67"/>
      <c r="K140" s="31" t="s">
        <v>65</v>
      </c>
      <c r="L140" s="75">
        <v>140</v>
      </c>
      <c r="M140" s="75"/>
      <c r="N140" s="69"/>
      <c r="O140" s="77" t="s">
        <v>437</v>
      </c>
      <c r="P140" s="79">
        <v>45089.68212962963</v>
      </c>
      <c r="Q140" s="77" t="s">
        <v>544</v>
      </c>
      <c r="R140" s="77">
        <v>0</v>
      </c>
      <c r="S140" s="77">
        <v>2</v>
      </c>
      <c r="T140" s="77">
        <v>0</v>
      </c>
      <c r="U140" s="77">
        <v>0</v>
      </c>
      <c r="V140" s="77">
        <v>66</v>
      </c>
      <c r="W140" s="77"/>
      <c r="X140" s="77"/>
      <c r="Y140" s="77"/>
      <c r="Z140" s="77" t="s">
        <v>639</v>
      </c>
      <c r="AA140" s="77"/>
      <c r="AB140" s="77"/>
      <c r="AC140" s="81" t="s">
        <v>674</v>
      </c>
      <c r="AD140" s="77" t="s">
        <v>686</v>
      </c>
      <c r="AE140" s="83" t="str">
        <f>HYPERLINK("https://twitter.com/a21starman/status/1668292643582013444")</f>
        <v>https://twitter.com/a21starman/status/1668292643582013444</v>
      </c>
      <c r="AF140" s="79">
        <v>45089.68212962963</v>
      </c>
      <c r="AG140" s="85">
        <v>45089</v>
      </c>
      <c r="AH140" s="81" t="s">
        <v>789</v>
      </c>
      <c r="AI140" s="77"/>
      <c r="AJ140" s="77" t="s">
        <v>845</v>
      </c>
      <c r="AK140" s="77" t="s">
        <v>849</v>
      </c>
      <c r="AL140" s="77" t="s">
        <v>850</v>
      </c>
      <c r="AM140" s="77" t="s">
        <v>869</v>
      </c>
      <c r="AN140" s="77" t="s">
        <v>891</v>
      </c>
      <c r="AO140" s="77" t="s">
        <v>913</v>
      </c>
      <c r="AP140" s="77" t="s">
        <v>917</v>
      </c>
      <c r="AQ140" s="77"/>
      <c r="AR140" s="77"/>
      <c r="AS140" s="77"/>
      <c r="AT140" s="77"/>
      <c r="AU140" s="77"/>
      <c r="AV140" s="83" t="str">
        <f>HYPERLINK("https://pbs.twimg.com/profile_images/1745292342318469120/FhRvP2yi_normal.jpg")</f>
        <v>https://pbs.twimg.com/profile_images/1745292342318469120/FhRvP2yi_normal.jpg</v>
      </c>
      <c r="AW140" s="81" t="s">
        <v>1043</v>
      </c>
      <c r="AX140" s="81" t="s">
        <v>1125</v>
      </c>
      <c r="AY140" s="81" t="s">
        <v>1189</v>
      </c>
      <c r="AZ140" s="81" t="s">
        <v>1226</v>
      </c>
      <c r="BA140" s="81" t="s">
        <v>1210</v>
      </c>
      <c r="BB140" s="81" t="s">
        <v>1210</v>
      </c>
      <c r="BC140" s="81" t="s">
        <v>1226</v>
      </c>
      <c r="BD140" s="81" t="s">
        <v>1189</v>
      </c>
      <c r="BE140" s="77"/>
      <c r="BF140" s="77"/>
      <c r="BG140" s="77"/>
      <c r="BH140" s="77"/>
      <c r="BI140" s="77"/>
      <c r="BJ140">
        <v>1</v>
      </c>
      <c r="BK140" s="76" t="str">
        <f>REPLACE(INDEX(GroupVertices[Group],MATCH("~"&amp;Edges[[#This Row],[Vertex 1]],GroupVertices[Vertex],0)),1,1,"")</f>
        <v>14</v>
      </c>
      <c r="BL140" s="76" t="str">
        <f>REPLACE(INDEX(GroupVertices[Group],MATCH("~"&amp;Edges[[#This Row],[Vertex 2]],GroupVertices[Vertex],0)),1,1,"")</f>
        <v>14</v>
      </c>
      <c r="BM140" s="45">
        <v>1</v>
      </c>
      <c r="BN140" s="46">
        <v>2.0833333333333335</v>
      </c>
      <c r="BO140" s="45">
        <v>5</v>
      </c>
      <c r="BP140" s="46">
        <v>10.416666666666666</v>
      </c>
      <c r="BQ140" s="45">
        <v>0</v>
      </c>
      <c r="BR140" s="46">
        <v>0</v>
      </c>
      <c r="BS140" s="45">
        <v>18</v>
      </c>
      <c r="BT140" s="46">
        <v>37.5</v>
      </c>
      <c r="BU140" s="45">
        <v>48</v>
      </c>
    </row>
    <row r="141" spans="1:73" ht="15">
      <c r="A141" s="61" t="s">
        <v>311</v>
      </c>
      <c r="B141" s="61" t="s">
        <v>410</v>
      </c>
      <c r="C141" s="62" t="s">
        <v>11652</v>
      </c>
      <c r="D141" s="63">
        <v>3</v>
      </c>
      <c r="E141" s="64" t="s">
        <v>132</v>
      </c>
      <c r="F141" s="65">
        <v>32</v>
      </c>
      <c r="G141" s="62"/>
      <c r="H141" s="66"/>
      <c r="I141" s="67"/>
      <c r="J141" s="67"/>
      <c r="K141" s="31" t="s">
        <v>65</v>
      </c>
      <c r="L141" s="75">
        <v>141</v>
      </c>
      <c r="M141" s="75"/>
      <c r="N141" s="69"/>
      <c r="O141" s="77" t="s">
        <v>437</v>
      </c>
      <c r="P141" s="79">
        <v>45080.181909722225</v>
      </c>
      <c r="Q141" s="77" t="s">
        <v>545</v>
      </c>
      <c r="R141" s="77">
        <v>0</v>
      </c>
      <c r="S141" s="77">
        <v>2</v>
      </c>
      <c r="T141" s="77">
        <v>0</v>
      </c>
      <c r="U141" s="77">
        <v>0</v>
      </c>
      <c r="V141" s="77">
        <v>32</v>
      </c>
      <c r="W141" s="77"/>
      <c r="X141" s="77"/>
      <c r="Y141" s="77"/>
      <c r="Z141" s="77" t="s">
        <v>640</v>
      </c>
      <c r="AA141" s="77"/>
      <c r="AB141" s="77"/>
      <c r="AC141" s="81" t="s">
        <v>674</v>
      </c>
      <c r="AD141" s="77" t="s">
        <v>686</v>
      </c>
      <c r="AE141" s="83" t="str">
        <f>HYPERLINK("https://twitter.com/a21starman/status/1664849878642753536")</f>
        <v>https://twitter.com/a21starman/status/1664849878642753536</v>
      </c>
      <c r="AF141" s="79">
        <v>45080.181909722225</v>
      </c>
      <c r="AG141" s="85">
        <v>45080</v>
      </c>
      <c r="AH141" s="81" t="s">
        <v>790</v>
      </c>
      <c r="AI141" s="77"/>
      <c r="AJ141" s="77" t="s">
        <v>845</v>
      </c>
      <c r="AK141" s="77" t="s">
        <v>849</v>
      </c>
      <c r="AL141" s="77" t="s">
        <v>850</v>
      </c>
      <c r="AM141" s="77" t="s">
        <v>869</v>
      </c>
      <c r="AN141" s="77" t="s">
        <v>891</v>
      </c>
      <c r="AO141" s="77" t="s">
        <v>913</v>
      </c>
      <c r="AP141" s="77" t="s">
        <v>917</v>
      </c>
      <c r="AQ141" s="77"/>
      <c r="AR141" s="77"/>
      <c r="AS141" s="77"/>
      <c r="AT141" s="77"/>
      <c r="AU141" s="77"/>
      <c r="AV141" s="83" t="str">
        <f>HYPERLINK("https://pbs.twimg.com/profile_images/1745292342318469120/FhRvP2yi_normal.jpg")</f>
        <v>https://pbs.twimg.com/profile_images/1745292342318469120/FhRvP2yi_normal.jpg</v>
      </c>
      <c r="AW141" s="81" t="s">
        <v>1044</v>
      </c>
      <c r="AX141" s="81" t="s">
        <v>1126</v>
      </c>
      <c r="AY141" s="81" t="s">
        <v>1189</v>
      </c>
      <c r="AZ141" s="81" t="s">
        <v>1227</v>
      </c>
      <c r="BA141" s="81" t="s">
        <v>1210</v>
      </c>
      <c r="BB141" s="81" t="s">
        <v>1210</v>
      </c>
      <c r="BC141" s="81" t="s">
        <v>1227</v>
      </c>
      <c r="BD141" s="81" t="s">
        <v>1189</v>
      </c>
      <c r="BE141" s="77"/>
      <c r="BF141" s="77"/>
      <c r="BG141" s="77"/>
      <c r="BH141" s="77"/>
      <c r="BI141" s="77"/>
      <c r="BJ141">
        <v>1</v>
      </c>
      <c r="BK141" s="76" t="str">
        <f>REPLACE(INDEX(GroupVertices[Group],MATCH("~"&amp;Edges[[#This Row],[Vertex 1]],GroupVertices[Vertex],0)),1,1,"")</f>
        <v>14</v>
      </c>
      <c r="BL141" s="76" t="str">
        <f>REPLACE(INDEX(GroupVertices[Group],MATCH("~"&amp;Edges[[#This Row],[Vertex 2]],GroupVertices[Vertex],0)),1,1,"")</f>
        <v>14</v>
      </c>
      <c r="BM141" s="45">
        <v>0</v>
      </c>
      <c r="BN141" s="46">
        <v>0</v>
      </c>
      <c r="BO141" s="45">
        <v>1</v>
      </c>
      <c r="BP141" s="46">
        <v>7.142857142857143</v>
      </c>
      <c r="BQ141" s="45">
        <v>0</v>
      </c>
      <c r="BR141" s="46">
        <v>0</v>
      </c>
      <c r="BS141" s="45">
        <v>6</v>
      </c>
      <c r="BT141" s="46">
        <v>42.857142857142854</v>
      </c>
      <c r="BU141" s="45">
        <v>14</v>
      </c>
    </row>
    <row r="142" spans="1:73" ht="15">
      <c r="A142" s="61" t="s">
        <v>311</v>
      </c>
      <c r="B142" s="61" t="s">
        <v>311</v>
      </c>
      <c r="C142" s="62" t="s">
        <v>1410</v>
      </c>
      <c r="D142" s="63">
        <v>10</v>
      </c>
      <c r="E142" s="64" t="s">
        <v>132</v>
      </c>
      <c r="F142" s="65">
        <v>10</v>
      </c>
      <c r="G142" s="62"/>
      <c r="H142" s="66"/>
      <c r="I142" s="67"/>
      <c r="J142" s="67"/>
      <c r="K142" s="31" t="s">
        <v>65</v>
      </c>
      <c r="L142" s="75">
        <v>142</v>
      </c>
      <c r="M142" s="75"/>
      <c r="N142" s="69"/>
      <c r="O142" s="77" t="s">
        <v>438</v>
      </c>
      <c r="P142" s="79">
        <v>45089.68212962963</v>
      </c>
      <c r="Q142" s="77" t="s">
        <v>544</v>
      </c>
      <c r="R142" s="77">
        <v>0</v>
      </c>
      <c r="S142" s="77">
        <v>2</v>
      </c>
      <c r="T142" s="77">
        <v>0</v>
      </c>
      <c r="U142" s="77">
        <v>0</v>
      </c>
      <c r="V142" s="77">
        <v>66</v>
      </c>
      <c r="W142" s="77"/>
      <c r="X142" s="77"/>
      <c r="Y142" s="77"/>
      <c r="Z142" s="77" t="s">
        <v>639</v>
      </c>
      <c r="AA142" s="77"/>
      <c r="AB142" s="77"/>
      <c r="AC142" s="81" t="s">
        <v>674</v>
      </c>
      <c r="AD142" s="77" t="s">
        <v>686</v>
      </c>
      <c r="AE142" s="83" t="str">
        <f>HYPERLINK("https://twitter.com/a21starman/status/1668292643582013444")</f>
        <v>https://twitter.com/a21starman/status/1668292643582013444</v>
      </c>
      <c r="AF142" s="79">
        <v>45089.68212962963</v>
      </c>
      <c r="AG142" s="85">
        <v>45089</v>
      </c>
      <c r="AH142" s="81" t="s">
        <v>789</v>
      </c>
      <c r="AI142" s="77"/>
      <c r="AJ142" s="77" t="s">
        <v>845</v>
      </c>
      <c r="AK142" s="77" t="s">
        <v>849</v>
      </c>
      <c r="AL142" s="77" t="s">
        <v>850</v>
      </c>
      <c r="AM142" s="77" t="s">
        <v>869</v>
      </c>
      <c r="AN142" s="77" t="s">
        <v>891</v>
      </c>
      <c r="AO142" s="77" t="s">
        <v>913</v>
      </c>
      <c r="AP142" s="77" t="s">
        <v>917</v>
      </c>
      <c r="AQ142" s="77"/>
      <c r="AR142" s="77"/>
      <c r="AS142" s="77"/>
      <c r="AT142" s="77"/>
      <c r="AU142" s="77"/>
      <c r="AV142" s="83" t="str">
        <f>HYPERLINK("https://pbs.twimg.com/profile_images/1745292342318469120/FhRvP2yi_normal.jpg")</f>
        <v>https://pbs.twimg.com/profile_images/1745292342318469120/FhRvP2yi_normal.jpg</v>
      </c>
      <c r="AW142" s="81" t="s">
        <v>1043</v>
      </c>
      <c r="AX142" s="81" t="s">
        <v>1125</v>
      </c>
      <c r="AY142" s="81" t="s">
        <v>1189</v>
      </c>
      <c r="AZ142" s="81" t="s">
        <v>1226</v>
      </c>
      <c r="BA142" s="81" t="s">
        <v>1210</v>
      </c>
      <c r="BB142" s="81" t="s">
        <v>1210</v>
      </c>
      <c r="BC142" s="81" t="s">
        <v>1226</v>
      </c>
      <c r="BD142" s="81" t="s">
        <v>1189</v>
      </c>
      <c r="BE142" s="77"/>
      <c r="BF142" s="77"/>
      <c r="BG142" s="77"/>
      <c r="BH142" s="77"/>
      <c r="BI142" s="77"/>
      <c r="BJ142">
        <v>2</v>
      </c>
      <c r="BK142" s="76" t="str">
        <f>REPLACE(INDEX(GroupVertices[Group],MATCH("~"&amp;Edges[[#This Row],[Vertex 1]],GroupVertices[Vertex],0)),1,1,"")</f>
        <v>14</v>
      </c>
      <c r="BL142" s="76" t="str">
        <f>REPLACE(INDEX(GroupVertices[Group],MATCH("~"&amp;Edges[[#This Row],[Vertex 2]],GroupVertices[Vertex],0)),1,1,"")</f>
        <v>14</v>
      </c>
      <c r="BM142" s="45"/>
      <c r="BN142" s="46"/>
      <c r="BO142" s="45"/>
      <c r="BP142" s="46"/>
      <c r="BQ142" s="45"/>
      <c r="BR142" s="46"/>
      <c r="BS142" s="45"/>
      <c r="BT142" s="46"/>
      <c r="BU142" s="45"/>
    </row>
    <row r="143" spans="1:73" ht="15">
      <c r="A143" s="61" t="s">
        <v>311</v>
      </c>
      <c r="B143" s="61" t="s">
        <v>311</v>
      </c>
      <c r="C143" s="62" t="s">
        <v>1410</v>
      </c>
      <c r="D143" s="63">
        <v>10</v>
      </c>
      <c r="E143" s="64" t="s">
        <v>132</v>
      </c>
      <c r="F143" s="65">
        <v>10</v>
      </c>
      <c r="G143" s="62"/>
      <c r="H143" s="66"/>
      <c r="I143" s="67"/>
      <c r="J143" s="67"/>
      <c r="K143" s="31" t="s">
        <v>65</v>
      </c>
      <c r="L143" s="75">
        <v>143</v>
      </c>
      <c r="M143" s="75"/>
      <c r="N143" s="69"/>
      <c r="O143" s="77" t="s">
        <v>438</v>
      </c>
      <c r="P143" s="79">
        <v>45080.181909722225</v>
      </c>
      <c r="Q143" s="77" t="s">
        <v>545</v>
      </c>
      <c r="R143" s="77">
        <v>0</v>
      </c>
      <c r="S143" s="77">
        <v>2</v>
      </c>
      <c r="T143" s="77">
        <v>0</v>
      </c>
      <c r="U143" s="77">
        <v>0</v>
      </c>
      <c r="V143" s="77">
        <v>32</v>
      </c>
      <c r="W143" s="77"/>
      <c r="X143" s="77"/>
      <c r="Y143" s="77"/>
      <c r="Z143" s="77" t="s">
        <v>640</v>
      </c>
      <c r="AA143" s="77"/>
      <c r="AB143" s="77"/>
      <c r="AC143" s="81" t="s">
        <v>674</v>
      </c>
      <c r="AD143" s="77" t="s">
        <v>686</v>
      </c>
      <c r="AE143" s="83" t="str">
        <f>HYPERLINK("https://twitter.com/a21starman/status/1664849878642753536")</f>
        <v>https://twitter.com/a21starman/status/1664849878642753536</v>
      </c>
      <c r="AF143" s="79">
        <v>45080.181909722225</v>
      </c>
      <c r="AG143" s="85">
        <v>45080</v>
      </c>
      <c r="AH143" s="81" t="s">
        <v>790</v>
      </c>
      <c r="AI143" s="77"/>
      <c r="AJ143" s="77" t="s">
        <v>845</v>
      </c>
      <c r="AK143" s="77" t="s">
        <v>849</v>
      </c>
      <c r="AL143" s="77" t="s">
        <v>850</v>
      </c>
      <c r="AM143" s="77" t="s">
        <v>869</v>
      </c>
      <c r="AN143" s="77" t="s">
        <v>891</v>
      </c>
      <c r="AO143" s="77" t="s">
        <v>913</v>
      </c>
      <c r="AP143" s="77" t="s">
        <v>917</v>
      </c>
      <c r="AQ143" s="77"/>
      <c r="AR143" s="77"/>
      <c r="AS143" s="77"/>
      <c r="AT143" s="77"/>
      <c r="AU143" s="77"/>
      <c r="AV143" s="83" t="str">
        <f>HYPERLINK("https://pbs.twimg.com/profile_images/1745292342318469120/FhRvP2yi_normal.jpg")</f>
        <v>https://pbs.twimg.com/profile_images/1745292342318469120/FhRvP2yi_normal.jpg</v>
      </c>
      <c r="AW143" s="81" t="s">
        <v>1044</v>
      </c>
      <c r="AX143" s="81" t="s">
        <v>1126</v>
      </c>
      <c r="AY143" s="81" t="s">
        <v>1189</v>
      </c>
      <c r="AZ143" s="81" t="s">
        <v>1227</v>
      </c>
      <c r="BA143" s="81" t="s">
        <v>1210</v>
      </c>
      <c r="BB143" s="81" t="s">
        <v>1210</v>
      </c>
      <c r="BC143" s="81" t="s">
        <v>1227</v>
      </c>
      <c r="BD143" s="81" t="s">
        <v>1189</v>
      </c>
      <c r="BE143" s="77"/>
      <c r="BF143" s="77"/>
      <c r="BG143" s="77"/>
      <c r="BH143" s="77"/>
      <c r="BI143" s="77"/>
      <c r="BJ143">
        <v>2</v>
      </c>
      <c r="BK143" s="76" t="str">
        <f>REPLACE(INDEX(GroupVertices[Group],MATCH("~"&amp;Edges[[#This Row],[Vertex 1]],GroupVertices[Vertex],0)),1,1,"")</f>
        <v>14</v>
      </c>
      <c r="BL143" s="76" t="str">
        <f>REPLACE(INDEX(GroupVertices[Group],MATCH("~"&amp;Edges[[#This Row],[Vertex 2]],GroupVertices[Vertex],0)),1,1,"")</f>
        <v>14</v>
      </c>
      <c r="BM143" s="45"/>
      <c r="BN143" s="46"/>
      <c r="BO143" s="45"/>
      <c r="BP143" s="46"/>
      <c r="BQ143" s="45"/>
      <c r="BR143" s="46"/>
      <c r="BS143" s="45"/>
      <c r="BT143" s="46"/>
      <c r="BU143" s="45"/>
    </row>
    <row r="144" spans="1:73" ht="15">
      <c r="A144" s="61" t="s">
        <v>312</v>
      </c>
      <c r="B144" s="61" t="s">
        <v>411</v>
      </c>
      <c r="C144" s="62" t="s">
        <v>11652</v>
      </c>
      <c r="D144" s="63">
        <v>3</v>
      </c>
      <c r="E144" s="64" t="s">
        <v>132</v>
      </c>
      <c r="F144" s="65">
        <v>32</v>
      </c>
      <c r="G144" s="62"/>
      <c r="H144" s="66"/>
      <c r="I144" s="67"/>
      <c r="J144" s="67"/>
      <c r="K144" s="31" t="s">
        <v>65</v>
      </c>
      <c r="L144" s="75">
        <v>144</v>
      </c>
      <c r="M144" s="75"/>
      <c r="N144" s="69"/>
      <c r="O144" s="77" t="s">
        <v>438</v>
      </c>
      <c r="P144" s="79">
        <v>45313.148125</v>
      </c>
      <c r="Q144" s="77" t="s">
        <v>546</v>
      </c>
      <c r="R144" s="77">
        <v>0</v>
      </c>
      <c r="S144" s="77">
        <v>0</v>
      </c>
      <c r="T144" s="77">
        <v>0</v>
      </c>
      <c r="U144" s="77">
        <v>0</v>
      </c>
      <c r="V144" s="77">
        <v>3</v>
      </c>
      <c r="W144" s="77"/>
      <c r="X144" s="77"/>
      <c r="Y144" s="77"/>
      <c r="Z144" s="77" t="s">
        <v>411</v>
      </c>
      <c r="AA144" s="77"/>
      <c r="AB144" s="77"/>
      <c r="AC144" s="81" t="s">
        <v>674</v>
      </c>
      <c r="AD144" s="77" t="s">
        <v>686</v>
      </c>
      <c r="AE144" s="83" t="str">
        <f>HYPERLINK("https://twitter.com/dutch52050550/status/1749274009307652506")</f>
        <v>https://twitter.com/dutch52050550/status/1749274009307652506</v>
      </c>
      <c r="AF144" s="79">
        <v>45313.148125</v>
      </c>
      <c r="AG144" s="85">
        <v>45313</v>
      </c>
      <c r="AH144" s="81" t="s">
        <v>791</v>
      </c>
      <c r="AI144" s="77"/>
      <c r="AJ144" s="77"/>
      <c r="AK144" s="77"/>
      <c r="AL144" s="77"/>
      <c r="AM144" s="77"/>
      <c r="AN144" s="77"/>
      <c r="AO144" s="77"/>
      <c r="AP144" s="77"/>
      <c r="AQ144" s="77"/>
      <c r="AR144" s="77"/>
      <c r="AS144" s="77"/>
      <c r="AT144" s="77"/>
      <c r="AU144" s="77"/>
      <c r="AV144" s="83" t="str">
        <f>HYPERLINK("https://pbs.twimg.com/profile_images/1608710889632583680/1taUYWyB_normal.jpg")</f>
        <v>https://pbs.twimg.com/profile_images/1608710889632583680/1taUYWyB_normal.jpg</v>
      </c>
      <c r="AW144" s="81" t="s">
        <v>1045</v>
      </c>
      <c r="AX144" s="81" t="s">
        <v>1127</v>
      </c>
      <c r="AY144" s="81" t="s">
        <v>1190</v>
      </c>
      <c r="AZ144" s="81" t="s">
        <v>1127</v>
      </c>
      <c r="BA144" s="81" t="s">
        <v>1210</v>
      </c>
      <c r="BB144" s="81" t="s">
        <v>1210</v>
      </c>
      <c r="BC144" s="81" t="s">
        <v>1127</v>
      </c>
      <c r="BD144" s="81" t="s">
        <v>1277</v>
      </c>
      <c r="BE144" s="77"/>
      <c r="BF144" s="77"/>
      <c r="BG144" s="77"/>
      <c r="BH144" s="77"/>
      <c r="BI144" s="77"/>
      <c r="BJ144">
        <v>1</v>
      </c>
      <c r="BK144" s="76" t="str">
        <f>REPLACE(INDEX(GroupVertices[Group],MATCH("~"&amp;Edges[[#This Row],[Vertex 1]],GroupVertices[Vertex],0)),1,1,"")</f>
        <v>35</v>
      </c>
      <c r="BL144" s="76" t="str">
        <f>REPLACE(INDEX(GroupVertices[Group],MATCH("~"&amp;Edges[[#This Row],[Vertex 2]],GroupVertices[Vertex],0)),1,1,"")</f>
        <v>35</v>
      </c>
      <c r="BM144" s="45">
        <v>0</v>
      </c>
      <c r="BN144" s="46">
        <v>0</v>
      </c>
      <c r="BO144" s="45">
        <v>1</v>
      </c>
      <c r="BP144" s="46">
        <v>25</v>
      </c>
      <c r="BQ144" s="45">
        <v>0</v>
      </c>
      <c r="BR144" s="46">
        <v>0</v>
      </c>
      <c r="BS144" s="45">
        <v>2</v>
      </c>
      <c r="BT144" s="46">
        <v>50</v>
      </c>
      <c r="BU144" s="45">
        <v>4</v>
      </c>
    </row>
    <row r="145" spans="1:73" ht="15">
      <c r="A145" s="61" t="s">
        <v>313</v>
      </c>
      <c r="B145" s="61" t="s">
        <v>412</v>
      </c>
      <c r="C145" s="62" t="s">
        <v>11652</v>
      </c>
      <c r="D145" s="63">
        <v>3</v>
      </c>
      <c r="E145" s="64" t="s">
        <v>132</v>
      </c>
      <c r="F145" s="65">
        <v>32</v>
      </c>
      <c r="G145" s="62"/>
      <c r="H145" s="66"/>
      <c r="I145" s="67"/>
      <c r="J145" s="67"/>
      <c r="K145" s="31" t="s">
        <v>65</v>
      </c>
      <c r="L145" s="75">
        <v>145</v>
      </c>
      <c r="M145" s="75"/>
      <c r="N145" s="69"/>
      <c r="O145" s="77" t="s">
        <v>437</v>
      </c>
      <c r="P145" s="79">
        <v>45316.04670138889</v>
      </c>
      <c r="Q145" s="77" t="s">
        <v>547</v>
      </c>
      <c r="R145" s="77">
        <v>0</v>
      </c>
      <c r="S145" s="77">
        <v>0</v>
      </c>
      <c r="T145" s="77">
        <v>0</v>
      </c>
      <c r="U145" s="77">
        <v>0</v>
      </c>
      <c r="V145" s="77">
        <v>12</v>
      </c>
      <c r="W145" s="77"/>
      <c r="X145" s="77"/>
      <c r="Y145" s="77"/>
      <c r="Z145" s="77" t="s">
        <v>641</v>
      </c>
      <c r="AA145" s="77"/>
      <c r="AB145" s="77"/>
      <c r="AC145" s="81" t="s">
        <v>678</v>
      </c>
      <c r="AD145" s="77" t="s">
        <v>686</v>
      </c>
      <c r="AE145" s="83" t="str">
        <f>HYPERLINK("https://twitter.com/lostdiva/status/1750324419812339959")</f>
        <v>https://twitter.com/lostdiva/status/1750324419812339959</v>
      </c>
      <c r="AF145" s="79">
        <v>45316.04670138889</v>
      </c>
      <c r="AG145" s="85">
        <v>45316</v>
      </c>
      <c r="AH145" s="81" t="s">
        <v>792</v>
      </c>
      <c r="AI145" s="77"/>
      <c r="AJ145" s="77"/>
      <c r="AK145" s="77"/>
      <c r="AL145" s="77"/>
      <c r="AM145" s="77"/>
      <c r="AN145" s="77"/>
      <c r="AO145" s="77"/>
      <c r="AP145" s="77"/>
      <c r="AQ145" s="77"/>
      <c r="AR145" s="77"/>
      <c r="AS145" s="77"/>
      <c r="AT145" s="77"/>
      <c r="AU145" s="77"/>
      <c r="AV145" s="83" t="str">
        <f>HYPERLINK("https://pbs.twimg.com/profile_images/1733025846527729664/gp53xZCk_normal.jpg")</f>
        <v>https://pbs.twimg.com/profile_images/1733025846527729664/gp53xZCk_normal.jpg</v>
      </c>
      <c r="AW145" s="81" t="s">
        <v>1046</v>
      </c>
      <c r="AX145" s="81" t="s">
        <v>1128</v>
      </c>
      <c r="AY145" s="81" t="s">
        <v>1191</v>
      </c>
      <c r="AZ145" s="81" t="s">
        <v>1228</v>
      </c>
      <c r="BA145" s="81" t="s">
        <v>1210</v>
      </c>
      <c r="BB145" s="81" t="s">
        <v>1210</v>
      </c>
      <c r="BC145" s="81" t="s">
        <v>1228</v>
      </c>
      <c r="BD145" s="77">
        <v>22869375</v>
      </c>
      <c r="BE145" s="77"/>
      <c r="BF145" s="77"/>
      <c r="BG145" s="77"/>
      <c r="BH145" s="77"/>
      <c r="BI145" s="77"/>
      <c r="BJ145">
        <v>1</v>
      </c>
      <c r="BK145" s="76" t="str">
        <f>REPLACE(INDEX(GroupVertices[Group],MATCH("~"&amp;Edges[[#This Row],[Vertex 1]],GroupVertices[Vertex],0)),1,1,"")</f>
        <v>13</v>
      </c>
      <c r="BL145" s="76" t="str">
        <f>REPLACE(INDEX(GroupVertices[Group],MATCH("~"&amp;Edges[[#This Row],[Vertex 2]],GroupVertices[Vertex],0)),1,1,"")</f>
        <v>13</v>
      </c>
      <c r="BM145" s="45"/>
      <c r="BN145" s="46"/>
      <c r="BO145" s="45"/>
      <c r="BP145" s="46"/>
      <c r="BQ145" s="45"/>
      <c r="BR145" s="46"/>
      <c r="BS145" s="45"/>
      <c r="BT145" s="46"/>
      <c r="BU145" s="45"/>
    </row>
    <row r="146" spans="1:73" ht="15">
      <c r="A146" s="61" t="s">
        <v>313</v>
      </c>
      <c r="B146" s="61" t="s">
        <v>413</v>
      </c>
      <c r="C146" s="62" t="s">
        <v>11652</v>
      </c>
      <c r="D146" s="63">
        <v>3</v>
      </c>
      <c r="E146" s="64" t="s">
        <v>132</v>
      </c>
      <c r="F146" s="65">
        <v>32</v>
      </c>
      <c r="G146" s="62"/>
      <c r="H146" s="66"/>
      <c r="I146" s="67"/>
      <c r="J146" s="67"/>
      <c r="K146" s="31" t="s">
        <v>65</v>
      </c>
      <c r="L146" s="75">
        <v>146</v>
      </c>
      <c r="M146" s="75"/>
      <c r="N146" s="69"/>
      <c r="O146" s="77" t="s">
        <v>438</v>
      </c>
      <c r="P146" s="79">
        <v>45316.04670138889</v>
      </c>
      <c r="Q146" s="77" t="s">
        <v>547</v>
      </c>
      <c r="R146" s="77">
        <v>0</v>
      </c>
      <c r="S146" s="77">
        <v>0</v>
      </c>
      <c r="T146" s="77">
        <v>0</v>
      </c>
      <c r="U146" s="77">
        <v>0</v>
      </c>
      <c r="V146" s="77">
        <v>12</v>
      </c>
      <c r="W146" s="77"/>
      <c r="X146" s="77"/>
      <c r="Y146" s="77"/>
      <c r="Z146" s="77" t="s">
        <v>641</v>
      </c>
      <c r="AA146" s="77"/>
      <c r="AB146" s="77"/>
      <c r="AC146" s="81" t="s">
        <v>678</v>
      </c>
      <c r="AD146" s="77" t="s">
        <v>686</v>
      </c>
      <c r="AE146" s="83" t="str">
        <f>HYPERLINK("https://twitter.com/lostdiva/status/1750324419812339959")</f>
        <v>https://twitter.com/lostdiva/status/1750324419812339959</v>
      </c>
      <c r="AF146" s="79">
        <v>45316.04670138889</v>
      </c>
      <c r="AG146" s="85">
        <v>45316</v>
      </c>
      <c r="AH146" s="81" t="s">
        <v>792</v>
      </c>
      <c r="AI146" s="77"/>
      <c r="AJ146" s="77"/>
      <c r="AK146" s="77"/>
      <c r="AL146" s="77"/>
      <c r="AM146" s="77"/>
      <c r="AN146" s="77"/>
      <c r="AO146" s="77"/>
      <c r="AP146" s="77"/>
      <c r="AQ146" s="77"/>
      <c r="AR146" s="77"/>
      <c r="AS146" s="77"/>
      <c r="AT146" s="77"/>
      <c r="AU146" s="77"/>
      <c r="AV146" s="83" t="str">
        <f>HYPERLINK("https://pbs.twimg.com/profile_images/1733025846527729664/gp53xZCk_normal.jpg")</f>
        <v>https://pbs.twimg.com/profile_images/1733025846527729664/gp53xZCk_normal.jpg</v>
      </c>
      <c r="AW146" s="81" t="s">
        <v>1046</v>
      </c>
      <c r="AX146" s="81" t="s">
        <v>1128</v>
      </c>
      <c r="AY146" s="81" t="s">
        <v>1191</v>
      </c>
      <c r="AZ146" s="81" t="s">
        <v>1228</v>
      </c>
      <c r="BA146" s="81" t="s">
        <v>1210</v>
      </c>
      <c r="BB146" s="81" t="s">
        <v>1210</v>
      </c>
      <c r="BC146" s="81" t="s">
        <v>1228</v>
      </c>
      <c r="BD146" s="77">
        <v>22869375</v>
      </c>
      <c r="BE146" s="77"/>
      <c r="BF146" s="77"/>
      <c r="BG146" s="77"/>
      <c r="BH146" s="77"/>
      <c r="BI146" s="77"/>
      <c r="BJ146">
        <v>1</v>
      </c>
      <c r="BK146" s="76" t="str">
        <f>REPLACE(INDEX(GroupVertices[Group],MATCH("~"&amp;Edges[[#This Row],[Vertex 1]],GroupVertices[Vertex],0)),1,1,"")</f>
        <v>13</v>
      </c>
      <c r="BL146" s="76" t="str">
        <f>REPLACE(INDEX(GroupVertices[Group],MATCH("~"&amp;Edges[[#This Row],[Vertex 2]],GroupVertices[Vertex],0)),1,1,"")</f>
        <v>13</v>
      </c>
      <c r="BM146" s="45">
        <v>0</v>
      </c>
      <c r="BN146" s="46">
        <v>0</v>
      </c>
      <c r="BO146" s="45">
        <v>2</v>
      </c>
      <c r="BP146" s="46">
        <v>13.333333333333334</v>
      </c>
      <c r="BQ146" s="45">
        <v>0</v>
      </c>
      <c r="BR146" s="46">
        <v>0</v>
      </c>
      <c r="BS146" s="45">
        <v>8</v>
      </c>
      <c r="BT146" s="46">
        <v>53.333333333333336</v>
      </c>
      <c r="BU146" s="45">
        <v>15</v>
      </c>
    </row>
    <row r="147" spans="1:73" ht="15">
      <c r="A147" s="61" t="s">
        <v>314</v>
      </c>
      <c r="B147" s="61" t="s">
        <v>414</v>
      </c>
      <c r="C147" s="62" t="s">
        <v>11652</v>
      </c>
      <c r="D147" s="63">
        <v>3</v>
      </c>
      <c r="E147" s="64" t="s">
        <v>132</v>
      </c>
      <c r="F147" s="65">
        <v>32</v>
      </c>
      <c r="G147" s="62"/>
      <c r="H147" s="66"/>
      <c r="I147" s="67"/>
      <c r="J147" s="67"/>
      <c r="K147" s="31" t="s">
        <v>65</v>
      </c>
      <c r="L147" s="75">
        <v>147</v>
      </c>
      <c r="M147" s="75"/>
      <c r="N147" s="69"/>
      <c r="O147" s="77" t="s">
        <v>438</v>
      </c>
      <c r="P147" s="79">
        <v>45174.03121527778</v>
      </c>
      <c r="Q147" s="77" t="s">
        <v>548</v>
      </c>
      <c r="R147" s="77">
        <v>0</v>
      </c>
      <c r="S147" s="77">
        <v>0</v>
      </c>
      <c r="T147" s="77">
        <v>1</v>
      </c>
      <c r="U147" s="77">
        <v>0</v>
      </c>
      <c r="V147" s="77">
        <v>42</v>
      </c>
      <c r="W147" s="77"/>
      <c r="X147" s="77"/>
      <c r="Y147" s="77"/>
      <c r="Z147" s="77" t="s">
        <v>414</v>
      </c>
      <c r="AA147" s="77"/>
      <c r="AB147" s="77"/>
      <c r="AC147" s="81" t="s">
        <v>678</v>
      </c>
      <c r="AD147" s="77" t="s">
        <v>686</v>
      </c>
      <c r="AE147" s="83" t="str">
        <f>HYPERLINK("https://twitter.com/beelofosho/status/1698859727701291245")</f>
        <v>https://twitter.com/beelofosho/status/1698859727701291245</v>
      </c>
      <c r="AF147" s="79">
        <v>45174.03121527778</v>
      </c>
      <c r="AG147" s="85">
        <v>45174</v>
      </c>
      <c r="AH147" s="81" t="s">
        <v>793</v>
      </c>
      <c r="AI147" s="77"/>
      <c r="AJ147" s="77" t="s">
        <v>847</v>
      </c>
      <c r="AK147" s="77" t="s">
        <v>849</v>
      </c>
      <c r="AL147" s="77" t="s">
        <v>850</v>
      </c>
      <c r="AM147" s="77" t="s">
        <v>871</v>
      </c>
      <c r="AN147" s="77" t="s">
        <v>893</v>
      </c>
      <c r="AO147" s="77" t="s">
        <v>915</v>
      </c>
      <c r="AP147" s="77" t="s">
        <v>917</v>
      </c>
      <c r="AQ147" s="77"/>
      <c r="AR147" s="77"/>
      <c r="AS147" s="77"/>
      <c r="AT147" s="77"/>
      <c r="AU147" s="77"/>
      <c r="AV147" s="83" t="str">
        <f>HYPERLINK("https://pbs.twimg.com/profile_images/1730702967630901248/lNf0-VjA_normal.jpg")</f>
        <v>https://pbs.twimg.com/profile_images/1730702967630901248/lNf0-VjA_normal.jpg</v>
      </c>
      <c r="AW147" s="81" t="s">
        <v>1047</v>
      </c>
      <c r="AX147" s="81" t="s">
        <v>1129</v>
      </c>
      <c r="AY147" s="81" t="s">
        <v>1192</v>
      </c>
      <c r="AZ147" s="81" t="s">
        <v>1229</v>
      </c>
      <c r="BA147" s="81" t="s">
        <v>1210</v>
      </c>
      <c r="BB147" s="81" t="s">
        <v>1210</v>
      </c>
      <c r="BC147" s="81" t="s">
        <v>1229</v>
      </c>
      <c r="BD147" s="77">
        <v>541855177</v>
      </c>
      <c r="BE147" s="77"/>
      <c r="BF147" s="77"/>
      <c r="BG147" s="77"/>
      <c r="BH147" s="77"/>
      <c r="BI147" s="77"/>
      <c r="BJ147">
        <v>1</v>
      </c>
      <c r="BK147" s="76" t="str">
        <f>REPLACE(INDEX(GroupVertices[Group],MATCH("~"&amp;Edges[[#This Row],[Vertex 1]],GroupVertices[Vertex],0)),1,1,"")</f>
        <v>34</v>
      </c>
      <c r="BL147" s="76" t="str">
        <f>REPLACE(INDEX(GroupVertices[Group],MATCH("~"&amp;Edges[[#This Row],[Vertex 2]],GroupVertices[Vertex],0)),1,1,"")</f>
        <v>34</v>
      </c>
      <c r="BM147" s="45">
        <v>1</v>
      </c>
      <c r="BN147" s="46">
        <v>2</v>
      </c>
      <c r="BO147" s="45">
        <v>1</v>
      </c>
      <c r="BP147" s="46">
        <v>2</v>
      </c>
      <c r="BQ147" s="45">
        <v>0</v>
      </c>
      <c r="BR147" s="46">
        <v>0</v>
      </c>
      <c r="BS147" s="45">
        <v>24</v>
      </c>
      <c r="BT147" s="46">
        <v>48</v>
      </c>
      <c r="BU147" s="45">
        <v>50</v>
      </c>
    </row>
    <row r="148" spans="1:73" ht="15">
      <c r="A148" s="61" t="s">
        <v>315</v>
      </c>
      <c r="B148" s="61" t="s">
        <v>415</v>
      </c>
      <c r="C148" s="62" t="s">
        <v>1410</v>
      </c>
      <c r="D148" s="63">
        <v>10</v>
      </c>
      <c r="E148" s="64" t="s">
        <v>132</v>
      </c>
      <c r="F148" s="65">
        <v>10</v>
      </c>
      <c r="G148" s="62"/>
      <c r="H148" s="66"/>
      <c r="I148" s="67"/>
      <c r="J148" s="67"/>
      <c r="K148" s="31" t="s">
        <v>65</v>
      </c>
      <c r="L148" s="75">
        <v>148</v>
      </c>
      <c r="M148" s="75"/>
      <c r="N148" s="69"/>
      <c r="O148" s="77" t="s">
        <v>438</v>
      </c>
      <c r="P148" s="79">
        <v>45206.78606481481</v>
      </c>
      <c r="Q148" s="77" t="s">
        <v>549</v>
      </c>
      <c r="R148" s="77">
        <v>0</v>
      </c>
      <c r="S148" s="77">
        <v>1</v>
      </c>
      <c r="T148" s="77">
        <v>2</v>
      </c>
      <c r="U148" s="77">
        <v>0</v>
      </c>
      <c r="V148" s="77">
        <v>147</v>
      </c>
      <c r="W148" s="77"/>
      <c r="X148" s="77"/>
      <c r="Y148" s="77"/>
      <c r="Z148" s="77" t="s">
        <v>415</v>
      </c>
      <c r="AA148" s="77"/>
      <c r="AB148" s="77"/>
      <c r="AC148" s="81" t="s">
        <v>677</v>
      </c>
      <c r="AD148" s="77" t="s">
        <v>686</v>
      </c>
      <c r="AE148" s="83" t="str">
        <f>HYPERLINK("https://twitter.com/j_mcdonald81/status/1710729688250044693")</f>
        <v>https://twitter.com/j_mcdonald81/status/1710729688250044693</v>
      </c>
      <c r="AF148" s="79">
        <v>45206.78606481481</v>
      </c>
      <c r="AG148" s="85">
        <v>45206</v>
      </c>
      <c r="AH148" s="81" t="s">
        <v>794</v>
      </c>
      <c r="AI148" s="77"/>
      <c r="AJ148" s="77" t="s">
        <v>847</v>
      </c>
      <c r="AK148" s="77" t="s">
        <v>849</v>
      </c>
      <c r="AL148" s="77" t="s">
        <v>850</v>
      </c>
      <c r="AM148" s="77" t="s">
        <v>871</v>
      </c>
      <c r="AN148" s="77" t="s">
        <v>893</v>
      </c>
      <c r="AO148" s="77" t="s">
        <v>915</v>
      </c>
      <c r="AP148" s="77" t="s">
        <v>917</v>
      </c>
      <c r="AQ148" s="77"/>
      <c r="AR148" s="77"/>
      <c r="AS148" s="77"/>
      <c r="AT148" s="77"/>
      <c r="AU148" s="77"/>
      <c r="AV148" s="83" t="str">
        <f>HYPERLINK("https://pbs.twimg.com/profile_images/1078371610896195584/pKIUmOgq_normal.jpg")</f>
        <v>https://pbs.twimg.com/profile_images/1078371610896195584/pKIUmOgq_normal.jpg</v>
      </c>
      <c r="AW148" s="81" t="s">
        <v>1048</v>
      </c>
      <c r="AX148" s="81" t="s">
        <v>1130</v>
      </c>
      <c r="AY148" s="81" t="s">
        <v>1193</v>
      </c>
      <c r="AZ148" s="81" t="s">
        <v>1230</v>
      </c>
      <c r="BA148" s="81" t="s">
        <v>1210</v>
      </c>
      <c r="BB148" s="81" t="s">
        <v>1210</v>
      </c>
      <c r="BC148" s="81" t="s">
        <v>1230</v>
      </c>
      <c r="BD148" s="77">
        <v>352146432</v>
      </c>
      <c r="BE148" s="77"/>
      <c r="BF148" s="77"/>
      <c r="BG148" s="77"/>
      <c r="BH148" s="77"/>
      <c r="BI148" s="77"/>
      <c r="BJ148">
        <v>2</v>
      </c>
      <c r="BK148" s="76" t="str">
        <f>REPLACE(INDEX(GroupVertices[Group],MATCH("~"&amp;Edges[[#This Row],[Vertex 1]],GroupVertices[Vertex],0)),1,1,"")</f>
        <v>33</v>
      </c>
      <c r="BL148" s="76" t="str">
        <f>REPLACE(INDEX(GroupVertices[Group],MATCH("~"&amp;Edges[[#This Row],[Vertex 2]],GroupVertices[Vertex],0)),1,1,"")</f>
        <v>33</v>
      </c>
      <c r="BM148" s="45">
        <v>1</v>
      </c>
      <c r="BN148" s="46">
        <v>1.8181818181818181</v>
      </c>
      <c r="BO148" s="45">
        <v>2</v>
      </c>
      <c r="BP148" s="46">
        <v>3.6363636363636362</v>
      </c>
      <c r="BQ148" s="45">
        <v>0</v>
      </c>
      <c r="BR148" s="46">
        <v>0</v>
      </c>
      <c r="BS148" s="45">
        <v>25</v>
      </c>
      <c r="BT148" s="46">
        <v>45.45454545454545</v>
      </c>
      <c r="BU148" s="45">
        <v>55</v>
      </c>
    </row>
    <row r="149" spans="1:73" ht="15">
      <c r="A149" s="61" t="s">
        <v>315</v>
      </c>
      <c r="B149" s="61" t="s">
        <v>415</v>
      </c>
      <c r="C149" s="62" t="s">
        <v>1410</v>
      </c>
      <c r="D149" s="63">
        <v>10</v>
      </c>
      <c r="E149" s="64" t="s">
        <v>132</v>
      </c>
      <c r="F149" s="65">
        <v>10</v>
      </c>
      <c r="G149" s="62"/>
      <c r="H149" s="66"/>
      <c r="I149" s="67"/>
      <c r="J149" s="67"/>
      <c r="K149" s="31" t="s">
        <v>65</v>
      </c>
      <c r="L149" s="75">
        <v>149</v>
      </c>
      <c r="M149" s="75"/>
      <c r="N149" s="69"/>
      <c r="O149" s="77" t="s">
        <v>438</v>
      </c>
      <c r="P149" s="79">
        <v>45206.765543981484</v>
      </c>
      <c r="Q149" s="77" t="s">
        <v>550</v>
      </c>
      <c r="R149" s="77">
        <v>0</v>
      </c>
      <c r="S149" s="77">
        <v>1</v>
      </c>
      <c r="T149" s="77">
        <v>1</v>
      </c>
      <c r="U149" s="77">
        <v>0</v>
      </c>
      <c r="V149" s="77">
        <v>414</v>
      </c>
      <c r="W149" s="77"/>
      <c r="X149" s="77"/>
      <c r="Y149" s="77"/>
      <c r="Z149" s="77" t="s">
        <v>415</v>
      </c>
      <c r="AA149" s="77"/>
      <c r="AB149" s="77"/>
      <c r="AC149" s="81" t="s">
        <v>677</v>
      </c>
      <c r="AD149" s="77" t="s">
        <v>686</v>
      </c>
      <c r="AE149" s="83" t="str">
        <f>HYPERLINK("https://twitter.com/j_mcdonald81/status/1710722251216298486")</f>
        <v>https://twitter.com/j_mcdonald81/status/1710722251216298486</v>
      </c>
      <c r="AF149" s="79">
        <v>45206.765543981484</v>
      </c>
      <c r="AG149" s="85">
        <v>45206</v>
      </c>
      <c r="AH149" s="81" t="s">
        <v>795</v>
      </c>
      <c r="AI149" s="77"/>
      <c r="AJ149" s="77" t="s">
        <v>847</v>
      </c>
      <c r="AK149" s="77" t="s">
        <v>849</v>
      </c>
      <c r="AL149" s="77" t="s">
        <v>850</v>
      </c>
      <c r="AM149" s="77" t="s">
        <v>871</v>
      </c>
      <c r="AN149" s="77" t="s">
        <v>893</v>
      </c>
      <c r="AO149" s="77" t="s">
        <v>915</v>
      </c>
      <c r="AP149" s="77" t="s">
        <v>917</v>
      </c>
      <c r="AQ149" s="77"/>
      <c r="AR149" s="77"/>
      <c r="AS149" s="77"/>
      <c r="AT149" s="77"/>
      <c r="AU149" s="77"/>
      <c r="AV149" s="83" t="str">
        <f>HYPERLINK("https://pbs.twimg.com/profile_images/1078371610896195584/pKIUmOgq_normal.jpg")</f>
        <v>https://pbs.twimg.com/profile_images/1078371610896195584/pKIUmOgq_normal.jpg</v>
      </c>
      <c r="AW149" s="81" t="s">
        <v>1049</v>
      </c>
      <c r="AX149" s="81" t="s">
        <v>1130</v>
      </c>
      <c r="AY149" s="81" t="s">
        <v>1193</v>
      </c>
      <c r="AZ149" s="81" t="s">
        <v>1130</v>
      </c>
      <c r="BA149" s="81" t="s">
        <v>1210</v>
      </c>
      <c r="BB149" s="81" t="s">
        <v>1210</v>
      </c>
      <c r="BC149" s="81" t="s">
        <v>1130</v>
      </c>
      <c r="BD149" s="77">
        <v>352146432</v>
      </c>
      <c r="BE149" s="77"/>
      <c r="BF149" s="77"/>
      <c r="BG149" s="77"/>
      <c r="BH149" s="77"/>
      <c r="BI149" s="77"/>
      <c r="BJ149">
        <v>2</v>
      </c>
      <c r="BK149" s="76" t="str">
        <f>REPLACE(INDEX(GroupVertices[Group],MATCH("~"&amp;Edges[[#This Row],[Vertex 1]],GroupVertices[Vertex],0)),1,1,"")</f>
        <v>33</v>
      </c>
      <c r="BL149" s="76" t="str">
        <f>REPLACE(INDEX(GroupVertices[Group],MATCH("~"&amp;Edges[[#This Row],[Vertex 2]],GroupVertices[Vertex],0)),1,1,"")</f>
        <v>33</v>
      </c>
      <c r="BM149" s="45">
        <v>0</v>
      </c>
      <c r="BN149" s="46">
        <v>0</v>
      </c>
      <c r="BO149" s="45">
        <v>1</v>
      </c>
      <c r="BP149" s="46">
        <v>4.3478260869565215</v>
      </c>
      <c r="BQ149" s="45">
        <v>0</v>
      </c>
      <c r="BR149" s="46">
        <v>0</v>
      </c>
      <c r="BS149" s="45">
        <v>14</v>
      </c>
      <c r="BT149" s="46">
        <v>60.869565217391305</v>
      </c>
      <c r="BU149" s="45">
        <v>23</v>
      </c>
    </row>
    <row r="150" spans="1:73" ht="15">
      <c r="A150" s="61" t="s">
        <v>316</v>
      </c>
      <c r="B150" s="61" t="s">
        <v>376</v>
      </c>
      <c r="C150" s="62" t="s">
        <v>11652</v>
      </c>
      <c r="D150" s="63">
        <v>3</v>
      </c>
      <c r="E150" s="64" t="s">
        <v>132</v>
      </c>
      <c r="F150" s="65">
        <v>32</v>
      </c>
      <c r="G150" s="62"/>
      <c r="H150" s="66"/>
      <c r="I150" s="67"/>
      <c r="J150" s="67"/>
      <c r="K150" s="31" t="s">
        <v>65</v>
      </c>
      <c r="L150" s="75">
        <v>150</v>
      </c>
      <c r="M150" s="75"/>
      <c r="N150" s="69"/>
      <c r="O150" s="77" t="s">
        <v>440</v>
      </c>
      <c r="P150" s="79">
        <v>44947.892696759256</v>
      </c>
      <c r="Q150" s="77" t="s">
        <v>551</v>
      </c>
      <c r="R150" s="77">
        <v>1</v>
      </c>
      <c r="S150" s="77">
        <v>4</v>
      </c>
      <c r="T150" s="77">
        <v>1</v>
      </c>
      <c r="U150" s="77">
        <v>0</v>
      </c>
      <c r="V150" s="77">
        <v>334</v>
      </c>
      <c r="W150" s="81" t="s">
        <v>416</v>
      </c>
      <c r="X150" s="77"/>
      <c r="Y150" s="77"/>
      <c r="Z150" s="77" t="s">
        <v>642</v>
      </c>
      <c r="AA150" s="77"/>
      <c r="AB150" s="77"/>
      <c r="AC150" s="81" t="s">
        <v>677</v>
      </c>
      <c r="AD150" s="77" t="s">
        <v>686</v>
      </c>
      <c r="AE150" s="83" t="str">
        <f>HYPERLINK("https://twitter.com/pdxblake/status/1616909875031965696")</f>
        <v>https://twitter.com/pdxblake/status/1616909875031965696</v>
      </c>
      <c r="AF150" s="79">
        <v>44947.892696759256</v>
      </c>
      <c r="AG150" s="85">
        <v>44947</v>
      </c>
      <c r="AH150" s="81" t="s">
        <v>796</v>
      </c>
      <c r="AI150" s="77"/>
      <c r="AJ150" s="77" t="s">
        <v>828</v>
      </c>
      <c r="AK150" s="77" t="s">
        <v>849</v>
      </c>
      <c r="AL150" s="77" t="s">
        <v>850</v>
      </c>
      <c r="AM150" s="77" t="s">
        <v>852</v>
      </c>
      <c r="AN150" s="77" t="s">
        <v>874</v>
      </c>
      <c r="AO150" s="77" t="s">
        <v>896</v>
      </c>
      <c r="AP150" s="77" t="s">
        <v>917</v>
      </c>
      <c r="AQ150" s="77"/>
      <c r="AR150" s="77"/>
      <c r="AS150" s="77"/>
      <c r="AT150" s="77"/>
      <c r="AU150" s="77"/>
      <c r="AV150" s="83" t="str">
        <f>HYPERLINK("https://pbs.twimg.com/profile_images/1681120494962225152/2iGrngKt_normal.jpg")</f>
        <v>https://pbs.twimg.com/profile_images/1681120494962225152/2iGrngKt_normal.jpg</v>
      </c>
      <c r="AW150" s="81" t="s">
        <v>1050</v>
      </c>
      <c r="AX150" s="81" t="s">
        <v>1050</v>
      </c>
      <c r="AY150" s="77"/>
      <c r="AZ150" s="81" t="s">
        <v>1210</v>
      </c>
      <c r="BA150" s="81" t="s">
        <v>1210</v>
      </c>
      <c r="BB150" s="81" t="s">
        <v>1210</v>
      </c>
      <c r="BC150" s="81" t="s">
        <v>1050</v>
      </c>
      <c r="BD150" s="77">
        <v>87288368</v>
      </c>
      <c r="BE150" s="77"/>
      <c r="BF150" s="77"/>
      <c r="BG150" s="77"/>
      <c r="BH150" s="77"/>
      <c r="BI150" s="77"/>
      <c r="BJ150">
        <v>1</v>
      </c>
      <c r="BK150" s="76" t="str">
        <f>REPLACE(INDEX(GroupVertices[Group],MATCH("~"&amp;Edges[[#This Row],[Vertex 1]],GroupVertices[Vertex],0)),1,1,"")</f>
        <v>2</v>
      </c>
      <c r="BL150" s="76" t="str">
        <f>REPLACE(INDEX(GroupVertices[Group],MATCH("~"&amp;Edges[[#This Row],[Vertex 2]],GroupVertices[Vertex],0)),1,1,"")</f>
        <v>2</v>
      </c>
      <c r="BM150" s="45"/>
      <c r="BN150" s="46"/>
      <c r="BO150" s="45"/>
      <c r="BP150" s="46"/>
      <c r="BQ150" s="45"/>
      <c r="BR150" s="46"/>
      <c r="BS150" s="45"/>
      <c r="BT150" s="46"/>
      <c r="BU150" s="45"/>
    </row>
    <row r="151" spans="1:73" ht="15">
      <c r="A151" s="61" t="s">
        <v>316</v>
      </c>
      <c r="B151" s="61" t="s">
        <v>416</v>
      </c>
      <c r="C151" s="62" t="s">
        <v>11652</v>
      </c>
      <c r="D151" s="63">
        <v>3</v>
      </c>
      <c r="E151" s="64" t="s">
        <v>132</v>
      </c>
      <c r="F151" s="65">
        <v>32</v>
      </c>
      <c r="G151" s="62"/>
      <c r="H151" s="66"/>
      <c r="I151" s="67"/>
      <c r="J151" s="67"/>
      <c r="K151" s="31" t="s">
        <v>65</v>
      </c>
      <c r="L151" s="75">
        <v>151</v>
      </c>
      <c r="M151" s="75"/>
      <c r="N151" s="69"/>
      <c r="O151" s="77" t="s">
        <v>440</v>
      </c>
      <c r="P151" s="79">
        <v>44947.892696759256</v>
      </c>
      <c r="Q151" s="77" t="s">
        <v>551</v>
      </c>
      <c r="R151" s="77">
        <v>1</v>
      </c>
      <c r="S151" s="77">
        <v>4</v>
      </c>
      <c r="T151" s="77">
        <v>1</v>
      </c>
      <c r="U151" s="77">
        <v>0</v>
      </c>
      <c r="V151" s="77">
        <v>334</v>
      </c>
      <c r="W151" s="81" t="s">
        <v>416</v>
      </c>
      <c r="X151" s="77"/>
      <c r="Y151" s="77"/>
      <c r="Z151" s="77" t="s">
        <v>642</v>
      </c>
      <c r="AA151" s="77"/>
      <c r="AB151" s="77"/>
      <c r="AC151" s="81" t="s">
        <v>677</v>
      </c>
      <c r="AD151" s="77" t="s">
        <v>686</v>
      </c>
      <c r="AE151" s="83" t="str">
        <f>HYPERLINK("https://twitter.com/pdxblake/status/1616909875031965696")</f>
        <v>https://twitter.com/pdxblake/status/1616909875031965696</v>
      </c>
      <c r="AF151" s="79">
        <v>44947.892696759256</v>
      </c>
      <c r="AG151" s="85">
        <v>44947</v>
      </c>
      <c r="AH151" s="81" t="s">
        <v>796</v>
      </c>
      <c r="AI151" s="77"/>
      <c r="AJ151" s="77" t="s">
        <v>828</v>
      </c>
      <c r="AK151" s="77" t="s">
        <v>849</v>
      </c>
      <c r="AL151" s="77" t="s">
        <v>850</v>
      </c>
      <c r="AM151" s="77" t="s">
        <v>852</v>
      </c>
      <c r="AN151" s="77" t="s">
        <v>874</v>
      </c>
      <c r="AO151" s="77" t="s">
        <v>896</v>
      </c>
      <c r="AP151" s="77" t="s">
        <v>917</v>
      </c>
      <c r="AQ151" s="77"/>
      <c r="AR151" s="77"/>
      <c r="AS151" s="77"/>
      <c r="AT151" s="77"/>
      <c r="AU151" s="77"/>
      <c r="AV151" s="83" t="str">
        <f>HYPERLINK("https://pbs.twimg.com/profile_images/1681120494962225152/2iGrngKt_normal.jpg")</f>
        <v>https://pbs.twimg.com/profile_images/1681120494962225152/2iGrngKt_normal.jpg</v>
      </c>
      <c r="AW151" s="81" t="s">
        <v>1050</v>
      </c>
      <c r="AX151" s="81" t="s">
        <v>1050</v>
      </c>
      <c r="AY151" s="77"/>
      <c r="AZ151" s="81" t="s">
        <v>1210</v>
      </c>
      <c r="BA151" s="81" t="s">
        <v>1210</v>
      </c>
      <c r="BB151" s="81" t="s">
        <v>1210</v>
      </c>
      <c r="BC151" s="81" t="s">
        <v>1050</v>
      </c>
      <c r="BD151" s="77">
        <v>87288368</v>
      </c>
      <c r="BE151" s="77"/>
      <c r="BF151" s="77"/>
      <c r="BG151" s="77"/>
      <c r="BH151" s="77"/>
      <c r="BI151" s="77"/>
      <c r="BJ151">
        <v>1</v>
      </c>
      <c r="BK151" s="76" t="str">
        <f>REPLACE(INDEX(GroupVertices[Group],MATCH("~"&amp;Edges[[#This Row],[Vertex 1]],GroupVertices[Vertex],0)),1,1,"")</f>
        <v>2</v>
      </c>
      <c r="BL151" s="76" t="str">
        <f>REPLACE(INDEX(GroupVertices[Group],MATCH("~"&amp;Edges[[#This Row],[Vertex 2]],GroupVertices[Vertex],0)),1,1,"")</f>
        <v>2</v>
      </c>
      <c r="BM151" s="45">
        <v>1</v>
      </c>
      <c r="BN151" s="46">
        <v>2.2222222222222223</v>
      </c>
      <c r="BO151" s="45">
        <v>2</v>
      </c>
      <c r="BP151" s="46">
        <v>4.444444444444445</v>
      </c>
      <c r="BQ151" s="45">
        <v>0</v>
      </c>
      <c r="BR151" s="46">
        <v>0</v>
      </c>
      <c r="BS151" s="45">
        <v>26</v>
      </c>
      <c r="BT151" s="46">
        <v>57.77777777777778</v>
      </c>
      <c r="BU151" s="45">
        <v>45</v>
      </c>
    </row>
    <row r="152" spans="1:73" ht="15">
      <c r="A152" s="61" t="s">
        <v>316</v>
      </c>
      <c r="B152" s="61" t="s">
        <v>416</v>
      </c>
      <c r="C152" s="62" t="s">
        <v>11652</v>
      </c>
      <c r="D152" s="63">
        <v>3</v>
      </c>
      <c r="E152" s="64" t="s">
        <v>132</v>
      </c>
      <c r="F152" s="65">
        <v>32</v>
      </c>
      <c r="G152" s="62"/>
      <c r="H152" s="66"/>
      <c r="I152" s="67"/>
      <c r="J152" s="67"/>
      <c r="K152" s="31" t="s">
        <v>65</v>
      </c>
      <c r="L152" s="75">
        <v>152</v>
      </c>
      <c r="M152" s="75"/>
      <c r="N152" s="69"/>
      <c r="O152" s="77" t="s">
        <v>438</v>
      </c>
      <c r="P152" s="79">
        <v>45031.04790509259</v>
      </c>
      <c r="Q152" s="77" t="s">
        <v>552</v>
      </c>
      <c r="R152" s="77">
        <v>0</v>
      </c>
      <c r="S152" s="77">
        <v>2</v>
      </c>
      <c r="T152" s="77">
        <v>1</v>
      </c>
      <c r="U152" s="77">
        <v>1</v>
      </c>
      <c r="V152" s="77">
        <v>121</v>
      </c>
      <c r="W152" s="77"/>
      <c r="X152" s="83" t="str">
        <f>HYPERLINK("https://www.sec.gov/news/press-release/2022-97")</f>
        <v>https://www.sec.gov/news/press-release/2022-97</v>
      </c>
      <c r="Y152" s="77" t="s">
        <v>615</v>
      </c>
      <c r="Z152" s="77" t="s">
        <v>416</v>
      </c>
      <c r="AA152" s="77" t="s">
        <v>661</v>
      </c>
      <c r="AB152" s="77" t="s">
        <v>671</v>
      </c>
      <c r="AC152" s="81" t="s">
        <v>677</v>
      </c>
      <c r="AD152" s="77" t="s">
        <v>686</v>
      </c>
      <c r="AE152" s="83" t="str">
        <f>HYPERLINK("https://twitter.com/pdxblake/status/1647044311543083008")</f>
        <v>https://twitter.com/pdxblake/status/1647044311543083008</v>
      </c>
      <c r="AF152" s="79">
        <v>45031.04790509259</v>
      </c>
      <c r="AG152" s="85">
        <v>45031</v>
      </c>
      <c r="AH152" s="81" t="s">
        <v>797</v>
      </c>
      <c r="AI152" s="77" t="b">
        <v>0</v>
      </c>
      <c r="AJ152" s="77" t="s">
        <v>828</v>
      </c>
      <c r="AK152" s="77" t="s">
        <v>849</v>
      </c>
      <c r="AL152" s="77" t="s">
        <v>850</v>
      </c>
      <c r="AM152" s="77" t="s">
        <v>852</v>
      </c>
      <c r="AN152" s="77" t="s">
        <v>874</v>
      </c>
      <c r="AO152" s="77" t="s">
        <v>896</v>
      </c>
      <c r="AP152" s="77" t="s">
        <v>917</v>
      </c>
      <c r="AQ152" s="77" t="s">
        <v>932</v>
      </c>
      <c r="AR152" s="77"/>
      <c r="AS152" s="77"/>
      <c r="AT152" s="77"/>
      <c r="AU152" s="77"/>
      <c r="AV152" s="83" t="str">
        <f>HYPERLINK("https://pbs.twimg.com/media/Ftt6EnlaYAEMUzq.jpg")</f>
        <v>https://pbs.twimg.com/media/Ftt6EnlaYAEMUzq.jpg</v>
      </c>
      <c r="AW152" s="81" t="s">
        <v>1051</v>
      </c>
      <c r="AX152" s="81" t="s">
        <v>1131</v>
      </c>
      <c r="AY152" s="81" t="s">
        <v>1194</v>
      </c>
      <c r="AZ152" s="81" t="s">
        <v>1131</v>
      </c>
      <c r="BA152" s="81" t="s">
        <v>1210</v>
      </c>
      <c r="BB152" s="81" t="s">
        <v>1210</v>
      </c>
      <c r="BC152" s="81" t="s">
        <v>1131</v>
      </c>
      <c r="BD152" s="77">
        <v>87288368</v>
      </c>
      <c r="BE152" s="77"/>
      <c r="BF152" s="77"/>
      <c r="BG152" s="77"/>
      <c r="BH152" s="77"/>
      <c r="BI152" s="77"/>
      <c r="BJ152">
        <v>1</v>
      </c>
      <c r="BK152" s="76" t="str">
        <f>REPLACE(INDEX(GroupVertices[Group],MATCH("~"&amp;Edges[[#This Row],[Vertex 1]],GroupVertices[Vertex],0)),1,1,"")</f>
        <v>2</v>
      </c>
      <c r="BL152" s="76" t="str">
        <f>REPLACE(INDEX(GroupVertices[Group],MATCH("~"&amp;Edges[[#This Row],[Vertex 2]],GroupVertices[Vertex],0)),1,1,"")</f>
        <v>2</v>
      </c>
      <c r="BM152" s="45">
        <v>1</v>
      </c>
      <c r="BN152" s="46">
        <v>2.9411764705882355</v>
      </c>
      <c r="BO152" s="45">
        <v>1</v>
      </c>
      <c r="BP152" s="46">
        <v>2.9411764705882355</v>
      </c>
      <c r="BQ152" s="45">
        <v>0</v>
      </c>
      <c r="BR152" s="46">
        <v>0</v>
      </c>
      <c r="BS152" s="45">
        <v>17</v>
      </c>
      <c r="BT152" s="46">
        <v>50</v>
      </c>
      <c r="BU152" s="45">
        <v>34</v>
      </c>
    </row>
    <row r="153" spans="1:73" ht="15">
      <c r="A153" s="61" t="s">
        <v>317</v>
      </c>
      <c r="B153" s="61" t="s">
        <v>417</v>
      </c>
      <c r="C153" s="62" t="s">
        <v>11652</v>
      </c>
      <c r="D153" s="63">
        <v>3</v>
      </c>
      <c r="E153" s="64" t="s">
        <v>132</v>
      </c>
      <c r="F153" s="65">
        <v>32</v>
      </c>
      <c r="G153" s="62"/>
      <c r="H153" s="66"/>
      <c r="I153" s="67"/>
      <c r="J153" s="67"/>
      <c r="K153" s="31" t="s">
        <v>65</v>
      </c>
      <c r="L153" s="75">
        <v>153</v>
      </c>
      <c r="M153" s="75"/>
      <c r="N153" s="69"/>
      <c r="O153" s="77" t="s">
        <v>440</v>
      </c>
      <c r="P153" s="79">
        <v>45214.989803240744</v>
      </c>
      <c r="Q153" s="77" t="s">
        <v>553</v>
      </c>
      <c r="R153" s="77">
        <v>889</v>
      </c>
      <c r="S153" s="77">
        <v>10238</v>
      </c>
      <c r="T153" s="77">
        <v>610</v>
      </c>
      <c r="U153" s="77">
        <v>484</v>
      </c>
      <c r="V153" s="77">
        <v>4629363</v>
      </c>
      <c r="W153" s="81" t="s">
        <v>595</v>
      </c>
      <c r="X153" s="77"/>
      <c r="Y153" s="77"/>
      <c r="Z153" s="77" t="s">
        <v>417</v>
      </c>
      <c r="AA153" s="77" t="s">
        <v>662</v>
      </c>
      <c r="AB153" s="77" t="s">
        <v>672</v>
      </c>
      <c r="AC153" s="81" t="s">
        <v>682</v>
      </c>
      <c r="AD153" s="77" t="s">
        <v>686</v>
      </c>
      <c r="AE153" s="83" t="str">
        <f>HYPERLINK("https://twitter.com/mysportsupdate/status/1713702623033917749")</f>
        <v>https://twitter.com/mysportsupdate/status/1713702623033917749</v>
      </c>
      <c r="AF153" s="79">
        <v>45214.989803240744</v>
      </c>
      <c r="AG153" s="85">
        <v>45214</v>
      </c>
      <c r="AH153" s="81" t="s">
        <v>798</v>
      </c>
      <c r="AI153" s="77" t="b">
        <v>0</v>
      </c>
      <c r="AJ153" s="77"/>
      <c r="AK153" s="77"/>
      <c r="AL153" s="77"/>
      <c r="AM153" s="77"/>
      <c r="AN153" s="77"/>
      <c r="AO153" s="77"/>
      <c r="AP153" s="77"/>
      <c r="AQ153" s="77" t="s">
        <v>933</v>
      </c>
      <c r="AR153" s="77">
        <v>87687</v>
      </c>
      <c r="AS153" s="77"/>
      <c r="AT153" s="77"/>
      <c r="AU153" s="77"/>
      <c r="AV153" s="83" t="str">
        <f>HYPERLINK("https://pbs.twimg.com/ext_tw_video_thumb/1713681394151415808/pu/img/AEt4hHIwlUhA_DMV.jpg")</f>
        <v>https://pbs.twimg.com/ext_tw_video_thumb/1713681394151415808/pu/img/AEt4hHIwlUhA_DMV.jpg</v>
      </c>
      <c r="AW153" s="81" t="s">
        <v>1052</v>
      </c>
      <c r="AX153" s="81" t="s">
        <v>1052</v>
      </c>
      <c r="AY153" s="77"/>
      <c r="AZ153" s="81" t="s">
        <v>1210</v>
      </c>
      <c r="BA153" s="81" t="s">
        <v>1210</v>
      </c>
      <c r="BB153" s="81" t="s">
        <v>1210</v>
      </c>
      <c r="BC153" s="81" t="s">
        <v>1052</v>
      </c>
      <c r="BD153" s="77">
        <v>1312367672</v>
      </c>
      <c r="BE153" s="77"/>
      <c r="BF153" s="77"/>
      <c r="BG153" s="77"/>
      <c r="BH153" s="77"/>
      <c r="BI153" s="77"/>
      <c r="BJ153">
        <v>1</v>
      </c>
      <c r="BK153" s="76" t="str">
        <f>REPLACE(INDEX(GroupVertices[Group],MATCH("~"&amp;Edges[[#This Row],[Vertex 1]],GroupVertices[Vertex],0)),1,1,"")</f>
        <v>12</v>
      </c>
      <c r="BL153" s="76" t="str">
        <f>REPLACE(INDEX(GroupVertices[Group],MATCH("~"&amp;Edges[[#This Row],[Vertex 2]],GroupVertices[Vertex],0)),1,1,"")</f>
        <v>12</v>
      </c>
      <c r="BM153" s="45">
        <v>0</v>
      </c>
      <c r="BN153" s="46">
        <v>0</v>
      </c>
      <c r="BO153" s="45">
        <v>3</v>
      </c>
      <c r="BP153" s="46">
        <v>7.142857142857143</v>
      </c>
      <c r="BQ153" s="45">
        <v>0</v>
      </c>
      <c r="BR153" s="46">
        <v>0</v>
      </c>
      <c r="BS153" s="45">
        <v>22</v>
      </c>
      <c r="BT153" s="46">
        <v>52.38095238095238</v>
      </c>
      <c r="BU153" s="45">
        <v>42</v>
      </c>
    </row>
    <row r="154" spans="1:73" ht="15">
      <c r="A154" s="61" t="s">
        <v>318</v>
      </c>
      <c r="B154" s="61" t="s">
        <v>418</v>
      </c>
      <c r="C154" s="62" t="s">
        <v>11652</v>
      </c>
      <c r="D154" s="63">
        <v>3</v>
      </c>
      <c r="E154" s="64" t="s">
        <v>132</v>
      </c>
      <c r="F154" s="65">
        <v>32</v>
      </c>
      <c r="G154" s="62"/>
      <c r="H154" s="66"/>
      <c r="I154" s="67"/>
      <c r="J154" s="67"/>
      <c r="K154" s="31" t="s">
        <v>65</v>
      </c>
      <c r="L154" s="75">
        <v>154</v>
      </c>
      <c r="M154" s="75"/>
      <c r="N154" s="69"/>
      <c r="O154" s="77" t="s">
        <v>438</v>
      </c>
      <c r="P154" s="79">
        <v>45072.002974537034</v>
      </c>
      <c r="Q154" s="77" t="s">
        <v>554</v>
      </c>
      <c r="R154" s="77">
        <v>0</v>
      </c>
      <c r="S154" s="77">
        <v>3</v>
      </c>
      <c r="T154" s="77">
        <v>0</v>
      </c>
      <c r="U154" s="77">
        <v>0</v>
      </c>
      <c r="V154" s="77">
        <v>66</v>
      </c>
      <c r="W154" s="77"/>
      <c r="X154" s="77"/>
      <c r="Y154" s="77"/>
      <c r="Z154" s="77" t="s">
        <v>418</v>
      </c>
      <c r="AA154" s="77" t="s">
        <v>663</v>
      </c>
      <c r="AB154" s="77" t="s">
        <v>671</v>
      </c>
      <c r="AC154" s="81" t="s">
        <v>674</v>
      </c>
      <c r="AD154" s="77" t="s">
        <v>686</v>
      </c>
      <c r="AE154" s="83" t="str">
        <f>HYPERLINK("https://twitter.com/quintonmurdock/status/1661885931794874368")</f>
        <v>https://twitter.com/quintonmurdock/status/1661885931794874368</v>
      </c>
      <c r="AF154" s="79">
        <v>45072.002974537034</v>
      </c>
      <c r="AG154" s="85">
        <v>45072</v>
      </c>
      <c r="AH154" s="81" t="s">
        <v>799</v>
      </c>
      <c r="AI154" s="77" t="b">
        <v>0</v>
      </c>
      <c r="AJ154" s="77" t="s">
        <v>828</v>
      </c>
      <c r="AK154" s="77" t="s">
        <v>849</v>
      </c>
      <c r="AL154" s="77" t="s">
        <v>850</v>
      </c>
      <c r="AM154" s="77" t="s">
        <v>852</v>
      </c>
      <c r="AN154" s="77" t="s">
        <v>874</v>
      </c>
      <c r="AO154" s="77" t="s">
        <v>896</v>
      </c>
      <c r="AP154" s="77" t="s">
        <v>917</v>
      </c>
      <c r="AQ154" s="77" t="s">
        <v>934</v>
      </c>
      <c r="AR154" s="77"/>
      <c r="AS154" s="77"/>
      <c r="AT154" s="77"/>
      <c r="AU154" s="77"/>
      <c r="AV154" s="83" t="str">
        <f>HYPERLINK("https://pbs.twimg.com/media/FxA0co1aIAEqzZr.jpg")</f>
        <v>https://pbs.twimg.com/media/FxA0co1aIAEqzZr.jpg</v>
      </c>
      <c r="AW154" s="81" t="s">
        <v>1053</v>
      </c>
      <c r="AX154" s="81" t="s">
        <v>1132</v>
      </c>
      <c r="AY154" s="81" t="s">
        <v>1195</v>
      </c>
      <c r="AZ154" s="81" t="s">
        <v>1132</v>
      </c>
      <c r="BA154" s="81" t="s">
        <v>1210</v>
      </c>
      <c r="BB154" s="81" t="s">
        <v>1210</v>
      </c>
      <c r="BC154" s="81" t="s">
        <v>1132</v>
      </c>
      <c r="BD154" s="81" t="s">
        <v>1278</v>
      </c>
      <c r="BE154" s="77"/>
      <c r="BF154" s="77"/>
      <c r="BG154" s="77"/>
      <c r="BH154" s="77"/>
      <c r="BI154" s="77"/>
      <c r="BJ154">
        <v>1</v>
      </c>
      <c r="BK154" s="76" t="str">
        <f>REPLACE(INDEX(GroupVertices[Group],MATCH("~"&amp;Edges[[#This Row],[Vertex 1]],GroupVertices[Vertex],0)),1,1,"")</f>
        <v>32</v>
      </c>
      <c r="BL154" s="76" t="str">
        <f>REPLACE(INDEX(GroupVertices[Group],MATCH("~"&amp;Edges[[#This Row],[Vertex 2]],GroupVertices[Vertex],0)),1,1,"")</f>
        <v>32</v>
      </c>
      <c r="BM154" s="45">
        <v>1</v>
      </c>
      <c r="BN154" s="46">
        <v>5</v>
      </c>
      <c r="BO154" s="45">
        <v>3</v>
      </c>
      <c r="BP154" s="46">
        <v>15</v>
      </c>
      <c r="BQ154" s="45">
        <v>0</v>
      </c>
      <c r="BR154" s="46">
        <v>0</v>
      </c>
      <c r="BS154" s="45">
        <v>5</v>
      </c>
      <c r="BT154" s="46">
        <v>25</v>
      </c>
      <c r="BU154" s="45">
        <v>20</v>
      </c>
    </row>
    <row r="155" spans="1:73" ht="15">
      <c r="A155" s="61" t="s">
        <v>319</v>
      </c>
      <c r="B155" s="61" t="s">
        <v>419</v>
      </c>
      <c r="C155" s="62" t="s">
        <v>11652</v>
      </c>
      <c r="D155" s="63">
        <v>3</v>
      </c>
      <c r="E155" s="64" t="s">
        <v>132</v>
      </c>
      <c r="F155" s="65">
        <v>32</v>
      </c>
      <c r="G155" s="62"/>
      <c r="H155" s="66"/>
      <c r="I155" s="67"/>
      <c r="J155" s="67"/>
      <c r="K155" s="31" t="s">
        <v>65</v>
      </c>
      <c r="L155" s="75">
        <v>155</v>
      </c>
      <c r="M155" s="75"/>
      <c r="N155" s="69"/>
      <c r="O155" s="77" t="s">
        <v>437</v>
      </c>
      <c r="P155" s="79">
        <v>44963.61640046296</v>
      </c>
      <c r="Q155" s="77" t="s">
        <v>555</v>
      </c>
      <c r="R155" s="77">
        <v>0</v>
      </c>
      <c r="S155" s="77">
        <v>0</v>
      </c>
      <c r="T155" s="77">
        <v>0</v>
      </c>
      <c r="U155" s="77">
        <v>0</v>
      </c>
      <c r="V155" s="77">
        <v>5</v>
      </c>
      <c r="W155" s="77"/>
      <c r="X155" s="77"/>
      <c r="Y155" s="77"/>
      <c r="Z155" s="77" t="s">
        <v>643</v>
      </c>
      <c r="AA155" s="77"/>
      <c r="AB155" s="77"/>
      <c r="AC155" s="81" t="s">
        <v>677</v>
      </c>
      <c r="AD155" s="77" t="s">
        <v>686</v>
      </c>
      <c r="AE155" s="83" t="str">
        <f>HYPERLINK("https://twitter.com/hardlee73/status/1622607952782954497")</f>
        <v>https://twitter.com/hardlee73/status/1622607952782954497</v>
      </c>
      <c r="AF155" s="79">
        <v>44963.61640046296</v>
      </c>
      <c r="AG155" s="85">
        <v>44963</v>
      </c>
      <c r="AH155" s="81" t="s">
        <v>800</v>
      </c>
      <c r="AI155" s="77"/>
      <c r="AJ155" s="77" t="s">
        <v>828</v>
      </c>
      <c r="AK155" s="77" t="s">
        <v>849</v>
      </c>
      <c r="AL155" s="77" t="s">
        <v>850</v>
      </c>
      <c r="AM155" s="77" t="s">
        <v>852</v>
      </c>
      <c r="AN155" s="77" t="s">
        <v>874</v>
      </c>
      <c r="AO155" s="77" t="s">
        <v>896</v>
      </c>
      <c r="AP155" s="77" t="s">
        <v>917</v>
      </c>
      <c r="AQ155" s="77"/>
      <c r="AR155" s="77"/>
      <c r="AS155" s="77"/>
      <c r="AT155" s="77"/>
      <c r="AU155" s="77"/>
      <c r="AV155" s="83" t="str">
        <f>HYPERLINK("https://pbs.twimg.com/profile_images/1659705770706083841/rThMHHyx_normal.jpg")</f>
        <v>https://pbs.twimg.com/profile_images/1659705770706083841/rThMHHyx_normal.jpg</v>
      </c>
      <c r="AW155" s="81" t="s">
        <v>1054</v>
      </c>
      <c r="AX155" s="81" t="s">
        <v>1133</v>
      </c>
      <c r="AY155" s="81" t="s">
        <v>1196</v>
      </c>
      <c r="AZ155" s="81" t="s">
        <v>1231</v>
      </c>
      <c r="BA155" s="81" t="s">
        <v>1210</v>
      </c>
      <c r="BB155" s="81" t="s">
        <v>1210</v>
      </c>
      <c r="BC155" s="81" t="s">
        <v>1231</v>
      </c>
      <c r="BD155" s="81" t="s">
        <v>1279</v>
      </c>
      <c r="BE155" s="77"/>
      <c r="BF155" s="77"/>
      <c r="BG155" s="77"/>
      <c r="BH155" s="77"/>
      <c r="BI155" s="77"/>
      <c r="BJ155">
        <v>1</v>
      </c>
      <c r="BK155" s="76" t="str">
        <f>REPLACE(INDEX(GroupVertices[Group],MATCH("~"&amp;Edges[[#This Row],[Vertex 1]],GroupVertices[Vertex],0)),1,1,"")</f>
        <v>3</v>
      </c>
      <c r="BL155" s="76" t="str">
        <f>REPLACE(INDEX(GroupVertices[Group],MATCH("~"&amp;Edges[[#This Row],[Vertex 2]],GroupVertices[Vertex],0)),1,1,"")</f>
        <v>3</v>
      </c>
      <c r="BM155" s="45"/>
      <c r="BN155" s="46"/>
      <c r="BO155" s="45"/>
      <c r="BP155" s="46"/>
      <c r="BQ155" s="45"/>
      <c r="BR155" s="46"/>
      <c r="BS155" s="45"/>
      <c r="BT155" s="46"/>
      <c r="BU155" s="45"/>
    </row>
    <row r="156" spans="1:73" ht="15">
      <c r="A156" s="61" t="s">
        <v>319</v>
      </c>
      <c r="B156" s="61" t="s">
        <v>420</v>
      </c>
      <c r="C156" s="62" t="s">
        <v>1410</v>
      </c>
      <c r="D156" s="63">
        <v>10</v>
      </c>
      <c r="E156" s="64" t="s">
        <v>132</v>
      </c>
      <c r="F156" s="65">
        <v>10</v>
      </c>
      <c r="G156" s="62"/>
      <c r="H156" s="66"/>
      <c r="I156" s="67"/>
      <c r="J156" s="67"/>
      <c r="K156" s="31" t="s">
        <v>65</v>
      </c>
      <c r="L156" s="75">
        <v>156</v>
      </c>
      <c r="M156" s="75"/>
      <c r="N156" s="69"/>
      <c r="O156" s="77" t="s">
        <v>437</v>
      </c>
      <c r="P156" s="79">
        <v>44963.61640046296</v>
      </c>
      <c r="Q156" s="77" t="s">
        <v>555</v>
      </c>
      <c r="R156" s="77">
        <v>0</v>
      </c>
      <c r="S156" s="77">
        <v>0</v>
      </c>
      <c r="T156" s="77">
        <v>0</v>
      </c>
      <c r="U156" s="77">
        <v>0</v>
      </c>
      <c r="V156" s="77">
        <v>5</v>
      </c>
      <c r="W156" s="77"/>
      <c r="X156" s="77"/>
      <c r="Y156" s="77"/>
      <c r="Z156" s="77" t="s">
        <v>643</v>
      </c>
      <c r="AA156" s="77"/>
      <c r="AB156" s="77"/>
      <c r="AC156" s="81" t="s">
        <v>677</v>
      </c>
      <c r="AD156" s="77" t="s">
        <v>686</v>
      </c>
      <c r="AE156" s="83" t="str">
        <f>HYPERLINK("https://twitter.com/hardlee73/status/1622607952782954497")</f>
        <v>https://twitter.com/hardlee73/status/1622607952782954497</v>
      </c>
      <c r="AF156" s="79">
        <v>44963.61640046296</v>
      </c>
      <c r="AG156" s="85">
        <v>44963</v>
      </c>
      <c r="AH156" s="81" t="s">
        <v>800</v>
      </c>
      <c r="AI156" s="77"/>
      <c r="AJ156" s="77" t="s">
        <v>828</v>
      </c>
      <c r="AK156" s="77" t="s">
        <v>849</v>
      </c>
      <c r="AL156" s="77" t="s">
        <v>850</v>
      </c>
      <c r="AM156" s="77" t="s">
        <v>852</v>
      </c>
      <c r="AN156" s="77" t="s">
        <v>874</v>
      </c>
      <c r="AO156" s="77" t="s">
        <v>896</v>
      </c>
      <c r="AP156" s="77" t="s">
        <v>917</v>
      </c>
      <c r="AQ156" s="77"/>
      <c r="AR156" s="77"/>
      <c r="AS156" s="77"/>
      <c r="AT156" s="77"/>
      <c r="AU156" s="77"/>
      <c r="AV156" s="83" t="str">
        <f>HYPERLINK("https://pbs.twimg.com/profile_images/1659705770706083841/rThMHHyx_normal.jpg")</f>
        <v>https://pbs.twimg.com/profile_images/1659705770706083841/rThMHHyx_normal.jpg</v>
      </c>
      <c r="AW156" s="81" t="s">
        <v>1054</v>
      </c>
      <c r="AX156" s="81" t="s">
        <v>1133</v>
      </c>
      <c r="AY156" s="81" t="s">
        <v>1196</v>
      </c>
      <c r="AZ156" s="81" t="s">
        <v>1231</v>
      </c>
      <c r="BA156" s="81" t="s">
        <v>1210</v>
      </c>
      <c r="BB156" s="81" t="s">
        <v>1210</v>
      </c>
      <c r="BC156" s="81" t="s">
        <v>1231</v>
      </c>
      <c r="BD156" s="81" t="s">
        <v>1279</v>
      </c>
      <c r="BE156" s="77"/>
      <c r="BF156" s="77"/>
      <c r="BG156" s="77"/>
      <c r="BH156" s="77"/>
      <c r="BI156" s="77"/>
      <c r="BJ156">
        <v>2</v>
      </c>
      <c r="BK156" s="76" t="str">
        <f>REPLACE(INDEX(GroupVertices[Group],MATCH("~"&amp;Edges[[#This Row],[Vertex 1]],GroupVertices[Vertex],0)),1,1,"")</f>
        <v>3</v>
      </c>
      <c r="BL156" s="76" t="str">
        <f>REPLACE(INDEX(GroupVertices[Group],MATCH("~"&amp;Edges[[#This Row],[Vertex 2]],GroupVertices[Vertex],0)),1,1,"")</f>
        <v>3</v>
      </c>
      <c r="BM156" s="45"/>
      <c r="BN156" s="46"/>
      <c r="BO156" s="45"/>
      <c r="BP156" s="46"/>
      <c r="BQ156" s="45"/>
      <c r="BR156" s="46"/>
      <c r="BS156" s="45"/>
      <c r="BT156" s="46"/>
      <c r="BU156" s="45"/>
    </row>
    <row r="157" spans="1:73" ht="15">
      <c r="A157" s="61" t="s">
        <v>319</v>
      </c>
      <c r="B157" s="61" t="s">
        <v>420</v>
      </c>
      <c r="C157" s="62" t="s">
        <v>1410</v>
      </c>
      <c r="D157" s="63">
        <v>10</v>
      </c>
      <c r="E157" s="64" t="s">
        <v>132</v>
      </c>
      <c r="F157" s="65">
        <v>10</v>
      </c>
      <c r="G157" s="62"/>
      <c r="H157" s="66"/>
      <c r="I157" s="67"/>
      <c r="J157" s="67"/>
      <c r="K157" s="31" t="s">
        <v>65</v>
      </c>
      <c r="L157" s="75">
        <v>157</v>
      </c>
      <c r="M157" s="75"/>
      <c r="N157" s="69"/>
      <c r="O157" s="77" t="s">
        <v>437</v>
      </c>
      <c r="P157" s="79">
        <v>44963.61640046296</v>
      </c>
      <c r="Q157" s="77" t="s">
        <v>555</v>
      </c>
      <c r="R157" s="77">
        <v>0</v>
      </c>
      <c r="S157" s="77">
        <v>0</v>
      </c>
      <c r="T157" s="77">
        <v>0</v>
      </c>
      <c r="U157" s="77">
        <v>0</v>
      </c>
      <c r="V157" s="77">
        <v>5</v>
      </c>
      <c r="W157" s="77"/>
      <c r="X157" s="77"/>
      <c r="Y157" s="77"/>
      <c r="Z157" s="77" t="s">
        <v>643</v>
      </c>
      <c r="AA157" s="77"/>
      <c r="AB157" s="77"/>
      <c r="AC157" s="81" t="s">
        <v>677</v>
      </c>
      <c r="AD157" s="77" t="s">
        <v>686</v>
      </c>
      <c r="AE157" s="83" t="str">
        <f>HYPERLINK("https://twitter.com/hardlee73/status/1622607952782954497")</f>
        <v>https://twitter.com/hardlee73/status/1622607952782954497</v>
      </c>
      <c r="AF157" s="79">
        <v>44963.61640046296</v>
      </c>
      <c r="AG157" s="85">
        <v>44963</v>
      </c>
      <c r="AH157" s="81" t="s">
        <v>800</v>
      </c>
      <c r="AI157" s="77"/>
      <c r="AJ157" s="77" t="s">
        <v>828</v>
      </c>
      <c r="AK157" s="77" t="s">
        <v>849</v>
      </c>
      <c r="AL157" s="77" t="s">
        <v>850</v>
      </c>
      <c r="AM157" s="77" t="s">
        <v>852</v>
      </c>
      <c r="AN157" s="77" t="s">
        <v>874</v>
      </c>
      <c r="AO157" s="77" t="s">
        <v>896</v>
      </c>
      <c r="AP157" s="77" t="s">
        <v>917</v>
      </c>
      <c r="AQ157" s="77"/>
      <c r="AR157" s="77"/>
      <c r="AS157" s="77"/>
      <c r="AT157" s="77"/>
      <c r="AU157" s="77"/>
      <c r="AV157" s="83" t="str">
        <f>HYPERLINK("https://pbs.twimg.com/profile_images/1659705770706083841/rThMHHyx_normal.jpg")</f>
        <v>https://pbs.twimg.com/profile_images/1659705770706083841/rThMHHyx_normal.jpg</v>
      </c>
      <c r="AW157" s="81" t="s">
        <v>1054</v>
      </c>
      <c r="AX157" s="81" t="s">
        <v>1133</v>
      </c>
      <c r="AY157" s="81" t="s">
        <v>1196</v>
      </c>
      <c r="AZ157" s="81" t="s">
        <v>1231</v>
      </c>
      <c r="BA157" s="81" t="s">
        <v>1210</v>
      </c>
      <c r="BB157" s="81" t="s">
        <v>1210</v>
      </c>
      <c r="BC157" s="81" t="s">
        <v>1231</v>
      </c>
      <c r="BD157" s="81" t="s">
        <v>1279</v>
      </c>
      <c r="BE157" s="77"/>
      <c r="BF157" s="77"/>
      <c r="BG157" s="77"/>
      <c r="BH157" s="77"/>
      <c r="BI157" s="77"/>
      <c r="BJ157">
        <v>2</v>
      </c>
      <c r="BK157" s="76" t="str">
        <f>REPLACE(INDEX(GroupVertices[Group],MATCH("~"&amp;Edges[[#This Row],[Vertex 1]],GroupVertices[Vertex],0)),1,1,"")</f>
        <v>3</v>
      </c>
      <c r="BL157" s="76" t="str">
        <f>REPLACE(INDEX(GroupVertices[Group],MATCH("~"&amp;Edges[[#This Row],[Vertex 2]],GroupVertices[Vertex],0)),1,1,"")</f>
        <v>3</v>
      </c>
      <c r="BM157" s="45">
        <v>1</v>
      </c>
      <c r="BN157" s="46">
        <v>3.7037037037037037</v>
      </c>
      <c r="BO157" s="45">
        <v>3</v>
      </c>
      <c r="BP157" s="46">
        <v>11.11111111111111</v>
      </c>
      <c r="BQ157" s="45">
        <v>0</v>
      </c>
      <c r="BR157" s="46">
        <v>0</v>
      </c>
      <c r="BS157" s="45">
        <v>13</v>
      </c>
      <c r="BT157" s="46">
        <v>48.148148148148145</v>
      </c>
      <c r="BU157" s="45">
        <v>27</v>
      </c>
    </row>
    <row r="158" spans="1:73" ht="15">
      <c r="A158" s="61" t="s">
        <v>319</v>
      </c>
      <c r="B158" s="61" t="s">
        <v>268</v>
      </c>
      <c r="C158" s="62" t="s">
        <v>11652</v>
      </c>
      <c r="D158" s="63">
        <v>3</v>
      </c>
      <c r="E158" s="64" t="s">
        <v>132</v>
      </c>
      <c r="F158" s="65">
        <v>32</v>
      </c>
      <c r="G158" s="62"/>
      <c r="H158" s="66"/>
      <c r="I158" s="67"/>
      <c r="J158" s="67"/>
      <c r="K158" s="31" t="s">
        <v>65</v>
      </c>
      <c r="L158" s="75">
        <v>158</v>
      </c>
      <c r="M158" s="75"/>
      <c r="N158" s="69"/>
      <c r="O158" s="77" t="s">
        <v>437</v>
      </c>
      <c r="P158" s="79">
        <v>44963.61640046296</v>
      </c>
      <c r="Q158" s="77" t="s">
        <v>555</v>
      </c>
      <c r="R158" s="77">
        <v>0</v>
      </c>
      <c r="S158" s="77">
        <v>0</v>
      </c>
      <c r="T158" s="77">
        <v>0</v>
      </c>
      <c r="U158" s="77">
        <v>0</v>
      </c>
      <c r="V158" s="77">
        <v>5</v>
      </c>
      <c r="W158" s="77"/>
      <c r="X158" s="77"/>
      <c r="Y158" s="77"/>
      <c r="Z158" s="77" t="s">
        <v>643</v>
      </c>
      <c r="AA158" s="77"/>
      <c r="AB158" s="77"/>
      <c r="AC158" s="81" t="s">
        <v>677</v>
      </c>
      <c r="AD158" s="77" t="s">
        <v>686</v>
      </c>
      <c r="AE158" s="83" t="str">
        <f>HYPERLINK("https://twitter.com/hardlee73/status/1622607952782954497")</f>
        <v>https://twitter.com/hardlee73/status/1622607952782954497</v>
      </c>
      <c r="AF158" s="79">
        <v>44963.61640046296</v>
      </c>
      <c r="AG158" s="85">
        <v>44963</v>
      </c>
      <c r="AH158" s="81" t="s">
        <v>800</v>
      </c>
      <c r="AI158" s="77"/>
      <c r="AJ158" s="77" t="s">
        <v>828</v>
      </c>
      <c r="AK158" s="77" t="s">
        <v>849</v>
      </c>
      <c r="AL158" s="77" t="s">
        <v>850</v>
      </c>
      <c r="AM158" s="77" t="s">
        <v>852</v>
      </c>
      <c r="AN158" s="77" t="s">
        <v>874</v>
      </c>
      <c r="AO158" s="77" t="s">
        <v>896</v>
      </c>
      <c r="AP158" s="77" t="s">
        <v>917</v>
      </c>
      <c r="AQ158" s="77"/>
      <c r="AR158" s="77"/>
      <c r="AS158" s="77"/>
      <c r="AT158" s="77"/>
      <c r="AU158" s="77"/>
      <c r="AV158" s="83" t="str">
        <f>HYPERLINK("https://pbs.twimg.com/profile_images/1659705770706083841/rThMHHyx_normal.jpg")</f>
        <v>https://pbs.twimg.com/profile_images/1659705770706083841/rThMHHyx_normal.jpg</v>
      </c>
      <c r="AW158" s="81" t="s">
        <v>1054</v>
      </c>
      <c r="AX158" s="81" t="s">
        <v>1133</v>
      </c>
      <c r="AY158" s="81" t="s">
        <v>1196</v>
      </c>
      <c r="AZ158" s="81" t="s">
        <v>1231</v>
      </c>
      <c r="BA158" s="81" t="s">
        <v>1210</v>
      </c>
      <c r="BB158" s="81" t="s">
        <v>1210</v>
      </c>
      <c r="BC158" s="81" t="s">
        <v>1231</v>
      </c>
      <c r="BD158" s="81" t="s">
        <v>1279</v>
      </c>
      <c r="BE158" s="77"/>
      <c r="BF158" s="77"/>
      <c r="BG158" s="77"/>
      <c r="BH158" s="77"/>
      <c r="BI158" s="77"/>
      <c r="BJ158">
        <v>1</v>
      </c>
      <c r="BK158" s="76" t="str">
        <f>REPLACE(INDEX(GroupVertices[Group],MATCH("~"&amp;Edges[[#This Row],[Vertex 1]],GroupVertices[Vertex],0)),1,1,"")</f>
        <v>3</v>
      </c>
      <c r="BL158" s="76" t="str">
        <f>REPLACE(INDEX(GroupVertices[Group],MATCH("~"&amp;Edges[[#This Row],[Vertex 2]],GroupVertices[Vertex],0)),1,1,"")</f>
        <v>3</v>
      </c>
      <c r="BM158" s="45"/>
      <c r="BN158" s="46"/>
      <c r="BO158" s="45"/>
      <c r="BP158" s="46"/>
      <c r="BQ158" s="45"/>
      <c r="BR158" s="46"/>
      <c r="BS158" s="45"/>
      <c r="BT158" s="46"/>
      <c r="BU158" s="45"/>
    </row>
    <row r="159" spans="1:73" ht="15">
      <c r="A159" s="61" t="s">
        <v>319</v>
      </c>
      <c r="B159" s="61" t="s">
        <v>421</v>
      </c>
      <c r="C159" s="62" t="s">
        <v>11652</v>
      </c>
      <c r="D159" s="63">
        <v>3</v>
      </c>
      <c r="E159" s="64" t="s">
        <v>132</v>
      </c>
      <c r="F159" s="65">
        <v>32</v>
      </c>
      <c r="G159" s="62"/>
      <c r="H159" s="66"/>
      <c r="I159" s="67"/>
      <c r="J159" s="67"/>
      <c r="K159" s="31" t="s">
        <v>65</v>
      </c>
      <c r="L159" s="75">
        <v>159</v>
      </c>
      <c r="M159" s="75"/>
      <c r="N159" s="69"/>
      <c r="O159" s="77" t="s">
        <v>437</v>
      </c>
      <c r="P159" s="79">
        <v>45244.44966435185</v>
      </c>
      <c r="Q159" s="77" t="s">
        <v>556</v>
      </c>
      <c r="R159" s="77">
        <v>0</v>
      </c>
      <c r="S159" s="77">
        <v>2</v>
      </c>
      <c r="T159" s="77">
        <v>0</v>
      </c>
      <c r="U159" s="77">
        <v>0</v>
      </c>
      <c r="V159" s="77">
        <v>43</v>
      </c>
      <c r="W159" s="77"/>
      <c r="X159" s="77"/>
      <c r="Y159" s="77"/>
      <c r="Z159" s="77" t="s">
        <v>644</v>
      </c>
      <c r="AA159" s="77" t="s">
        <v>664</v>
      </c>
      <c r="AB159" s="77" t="s">
        <v>671</v>
      </c>
      <c r="AC159" s="81" t="s">
        <v>677</v>
      </c>
      <c r="AD159" s="77" t="s">
        <v>686</v>
      </c>
      <c r="AE159" s="83" t="str">
        <f>HYPERLINK("https://twitter.com/hardlee73/status/1724378522633068940")</f>
        <v>https://twitter.com/hardlee73/status/1724378522633068940</v>
      </c>
      <c r="AF159" s="79">
        <v>45244.44966435185</v>
      </c>
      <c r="AG159" s="85">
        <v>45244</v>
      </c>
      <c r="AH159" s="81" t="s">
        <v>801</v>
      </c>
      <c r="AI159" s="77" t="b">
        <v>0</v>
      </c>
      <c r="AJ159" s="77" t="s">
        <v>828</v>
      </c>
      <c r="AK159" s="77" t="s">
        <v>849</v>
      </c>
      <c r="AL159" s="77" t="s">
        <v>850</v>
      </c>
      <c r="AM159" s="77" t="s">
        <v>852</v>
      </c>
      <c r="AN159" s="77" t="s">
        <v>874</v>
      </c>
      <c r="AO159" s="77" t="s">
        <v>896</v>
      </c>
      <c r="AP159" s="77" t="s">
        <v>917</v>
      </c>
      <c r="AQ159" s="77" t="s">
        <v>935</v>
      </c>
      <c r="AR159" s="77"/>
      <c r="AS159" s="77"/>
      <c r="AT159" s="77"/>
      <c r="AU159" s="77"/>
      <c r="AV159" s="83" t="str">
        <f>HYPERLINK("https://pbs.twimg.com/media/F-45IQdagAAFhSA.jpg")</f>
        <v>https://pbs.twimg.com/media/F-45IQdagAAFhSA.jpg</v>
      </c>
      <c r="AW159" s="81" t="s">
        <v>1055</v>
      </c>
      <c r="AX159" s="81" t="s">
        <v>1134</v>
      </c>
      <c r="AY159" s="81" t="s">
        <v>1197</v>
      </c>
      <c r="AZ159" s="81" t="s">
        <v>1134</v>
      </c>
      <c r="BA159" s="81" t="s">
        <v>1210</v>
      </c>
      <c r="BB159" s="81" t="s">
        <v>1210</v>
      </c>
      <c r="BC159" s="81" t="s">
        <v>1134</v>
      </c>
      <c r="BD159" s="81" t="s">
        <v>1279</v>
      </c>
      <c r="BE159" s="77"/>
      <c r="BF159" s="77"/>
      <c r="BG159" s="77"/>
      <c r="BH159" s="77"/>
      <c r="BI159" s="77"/>
      <c r="BJ159">
        <v>1</v>
      </c>
      <c r="BK159" s="76" t="str">
        <f>REPLACE(INDEX(GroupVertices[Group],MATCH("~"&amp;Edges[[#This Row],[Vertex 1]],GroupVertices[Vertex],0)),1,1,"")</f>
        <v>3</v>
      </c>
      <c r="BL159" s="76" t="str">
        <f>REPLACE(INDEX(GroupVertices[Group],MATCH("~"&amp;Edges[[#This Row],[Vertex 2]],GroupVertices[Vertex],0)),1,1,"")</f>
        <v>3</v>
      </c>
      <c r="BM159" s="45"/>
      <c r="BN159" s="46"/>
      <c r="BO159" s="45"/>
      <c r="BP159" s="46"/>
      <c r="BQ159" s="45"/>
      <c r="BR159" s="46"/>
      <c r="BS159" s="45"/>
      <c r="BT159" s="46"/>
      <c r="BU159" s="45"/>
    </row>
    <row r="160" spans="1:73" ht="15">
      <c r="A160" s="61" t="s">
        <v>319</v>
      </c>
      <c r="B160" s="61" t="s">
        <v>422</v>
      </c>
      <c r="C160" s="62" t="s">
        <v>11652</v>
      </c>
      <c r="D160" s="63">
        <v>3</v>
      </c>
      <c r="E160" s="64" t="s">
        <v>132</v>
      </c>
      <c r="F160" s="65">
        <v>32</v>
      </c>
      <c r="G160" s="62"/>
      <c r="H160" s="66"/>
      <c r="I160" s="67"/>
      <c r="J160" s="67"/>
      <c r="K160" s="31" t="s">
        <v>65</v>
      </c>
      <c r="L160" s="75">
        <v>160</v>
      </c>
      <c r="M160" s="75"/>
      <c r="N160" s="69"/>
      <c r="O160" s="77" t="s">
        <v>438</v>
      </c>
      <c r="P160" s="79">
        <v>45244.44966435185</v>
      </c>
      <c r="Q160" s="77" t="s">
        <v>556</v>
      </c>
      <c r="R160" s="77">
        <v>0</v>
      </c>
      <c r="S160" s="77">
        <v>2</v>
      </c>
      <c r="T160" s="77">
        <v>0</v>
      </c>
      <c r="U160" s="77">
        <v>0</v>
      </c>
      <c r="V160" s="77">
        <v>43</v>
      </c>
      <c r="W160" s="77"/>
      <c r="X160" s="77"/>
      <c r="Y160" s="77"/>
      <c r="Z160" s="77" t="s">
        <v>644</v>
      </c>
      <c r="AA160" s="77" t="s">
        <v>664</v>
      </c>
      <c r="AB160" s="77" t="s">
        <v>671</v>
      </c>
      <c r="AC160" s="81" t="s">
        <v>677</v>
      </c>
      <c r="AD160" s="77" t="s">
        <v>686</v>
      </c>
      <c r="AE160" s="83" t="str">
        <f>HYPERLINK("https://twitter.com/hardlee73/status/1724378522633068940")</f>
        <v>https://twitter.com/hardlee73/status/1724378522633068940</v>
      </c>
      <c r="AF160" s="79">
        <v>45244.44966435185</v>
      </c>
      <c r="AG160" s="85">
        <v>45244</v>
      </c>
      <c r="AH160" s="81" t="s">
        <v>801</v>
      </c>
      <c r="AI160" s="77" t="b">
        <v>0</v>
      </c>
      <c r="AJ160" s="77" t="s">
        <v>828</v>
      </c>
      <c r="AK160" s="77" t="s">
        <v>849</v>
      </c>
      <c r="AL160" s="77" t="s">
        <v>850</v>
      </c>
      <c r="AM160" s="77" t="s">
        <v>852</v>
      </c>
      <c r="AN160" s="77" t="s">
        <v>874</v>
      </c>
      <c r="AO160" s="77" t="s">
        <v>896</v>
      </c>
      <c r="AP160" s="77" t="s">
        <v>917</v>
      </c>
      <c r="AQ160" s="77" t="s">
        <v>935</v>
      </c>
      <c r="AR160" s="77"/>
      <c r="AS160" s="77"/>
      <c r="AT160" s="77"/>
      <c r="AU160" s="77"/>
      <c r="AV160" s="83" t="str">
        <f>HYPERLINK("https://pbs.twimg.com/media/F-45IQdagAAFhSA.jpg")</f>
        <v>https://pbs.twimg.com/media/F-45IQdagAAFhSA.jpg</v>
      </c>
      <c r="AW160" s="81" t="s">
        <v>1055</v>
      </c>
      <c r="AX160" s="81" t="s">
        <v>1134</v>
      </c>
      <c r="AY160" s="81" t="s">
        <v>1197</v>
      </c>
      <c r="AZ160" s="81" t="s">
        <v>1134</v>
      </c>
      <c r="BA160" s="81" t="s">
        <v>1210</v>
      </c>
      <c r="BB160" s="81" t="s">
        <v>1210</v>
      </c>
      <c r="BC160" s="81" t="s">
        <v>1134</v>
      </c>
      <c r="BD160" s="81" t="s">
        <v>1279</v>
      </c>
      <c r="BE160" s="77"/>
      <c r="BF160" s="77"/>
      <c r="BG160" s="77"/>
      <c r="BH160" s="77"/>
      <c r="BI160" s="77"/>
      <c r="BJ160">
        <v>1</v>
      </c>
      <c r="BK160" s="76" t="str">
        <f>REPLACE(INDEX(GroupVertices[Group],MATCH("~"&amp;Edges[[#This Row],[Vertex 1]],GroupVertices[Vertex],0)),1,1,"")</f>
        <v>3</v>
      </c>
      <c r="BL160" s="76" t="str">
        <f>REPLACE(INDEX(GroupVertices[Group],MATCH("~"&amp;Edges[[#This Row],[Vertex 2]],GroupVertices[Vertex],0)),1,1,"")</f>
        <v>3</v>
      </c>
      <c r="BM160" s="45">
        <v>1</v>
      </c>
      <c r="BN160" s="46">
        <v>3.5714285714285716</v>
      </c>
      <c r="BO160" s="45">
        <v>2</v>
      </c>
      <c r="BP160" s="46">
        <v>7.142857142857143</v>
      </c>
      <c r="BQ160" s="45">
        <v>0</v>
      </c>
      <c r="BR160" s="46">
        <v>0</v>
      </c>
      <c r="BS160" s="45">
        <v>13</v>
      </c>
      <c r="BT160" s="46">
        <v>46.42857142857143</v>
      </c>
      <c r="BU160" s="45">
        <v>28</v>
      </c>
    </row>
    <row r="161" spans="1:73" ht="15">
      <c r="A161" s="61" t="s">
        <v>319</v>
      </c>
      <c r="B161" s="61" t="s">
        <v>423</v>
      </c>
      <c r="C161" s="62" t="s">
        <v>11652</v>
      </c>
      <c r="D161" s="63">
        <v>3</v>
      </c>
      <c r="E161" s="64" t="s">
        <v>132</v>
      </c>
      <c r="F161" s="65">
        <v>32</v>
      </c>
      <c r="G161" s="62"/>
      <c r="H161" s="66"/>
      <c r="I161" s="67"/>
      <c r="J161" s="67"/>
      <c r="K161" s="31" t="s">
        <v>65</v>
      </c>
      <c r="L161" s="75">
        <v>161</v>
      </c>
      <c r="M161" s="75"/>
      <c r="N161" s="69"/>
      <c r="O161" s="77" t="s">
        <v>437</v>
      </c>
      <c r="P161" s="79">
        <v>44996.13384259259</v>
      </c>
      <c r="Q161" s="77" t="s">
        <v>557</v>
      </c>
      <c r="R161" s="77">
        <v>0</v>
      </c>
      <c r="S161" s="77">
        <v>0</v>
      </c>
      <c r="T161" s="77">
        <v>0</v>
      </c>
      <c r="U161" s="77">
        <v>0</v>
      </c>
      <c r="V161" s="77">
        <v>26</v>
      </c>
      <c r="W161" s="77"/>
      <c r="X161" s="77"/>
      <c r="Y161" s="77"/>
      <c r="Z161" s="77" t="s">
        <v>645</v>
      </c>
      <c r="AA161" s="77" t="s">
        <v>665</v>
      </c>
      <c r="AB161" s="77" t="s">
        <v>673</v>
      </c>
      <c r="AC161" s="81" t="s">
        <v>677</v>
      </c>
      <c r="AD161" s="77" t="s">
        <v>686</v>
      </c>
      <c r="AE161" s="83" t="str">
        <f>HYPERLINK("https://twitter.com/hardlee73/status/1634391878882963457")</f>
        <v>https://twitter.com/hardlee73/status/1634391878882963457</v>
      </c>
      <c r="AF161" s="79">
        <v>44996.13384259259</v>
      </c>
      <c r="AG161" s="85">
        <v>44996</v>
      </c>
      <c r="AH161" s="81" t="s">
        <v>802</v>
      </c>
      <c r="AI161" s="77" t="b">
        <v>0</v>
      </c>
      <c r="AJ161" s="77" t="s">
        <v>828</v>
      </c>
      <c r="AK161" s="77" t="s">
        <v>849</v>
      </c>
      <c r="AL161" s="77" t="s">
        <v>850</v>
      </c>
      <c r="AM161" s="77" t="s">
        <v>852</v>
      </c>
      <c r="AN161" s="77" t="s">
        <v>874</v>
      </c>
      <c r="AO161" s="77" t="s">
        <v>896</v>
      </c>
      <c r="AP161" s="77" t="s">
        <v>917</v>
      </c>
      <c r="AQ161" s="77" t="s">
        <v>936</v>
      </c>
      <c r="AR161" s="77"/>
      <c r="AS161" s="77"/>
      <c r="AT161" s="77"/>
      <c r="AU161" s="77"/>
      <c r="AV161" s="83" t="str">
        <f>HYPERLINK("https://pbs.twimg.com/tweet_video_thumb/Fq6GvJhakAAm4r2.jpg")</f>
        <v>https://pbs.twimg.com/tweet_video_thumb/Fq6GvJhakAAm4r2.jpg</v>
      </c>
      <c r="AW161" s="81" t="s">
        <v>1056</v>
      </c>
      <c r="AX161" s="81" t="s">
        <v>1135</v>
      </c>
      <c r="AY161" s="81" t="s">
        <v>1198</v>
      </c>
      <c r="AZ161" s="81" t="s">
        <v>1135</v>
      </c>
      <c r="BA161" s="81" t="s">
        <v>1210</v>
      </c>
      <c r="BB161" s="81" t="s">
        <v>1210</v>
      </c>
      <c r="BC161" s="81" t="s">
        <v>1135</v>
      </c>
      <c r="BD161" s="81" t="s">
        <v>1279</v>
      </c>
      <c r="BE161" s="77"/>
      <c r="BF161" s="77"/>
      <c r="BG161" s="77"/>
      <c r="BH161" s="77"/>
      <c r="BI161" s="77"/>
      <c r="BJ161">
        <v>1</v>
      </c>
      <c r="BK161" s="76" t="str">
        <f>REPLACE(INDEX(GroupVertices[Group],MATCH("~"&amp;Edges[[#This Row],[Vertex 1]],GroupVertices[Vertex],0)),1,1,"")</f>
        <v>3</v>
      </c>
      <c r="BL161" s="76" t="str">
        <f>REPLACE(INDEX(GroupVertices[Group],MATCH("~"&amp;Edges[[#This Row],[Vertex 2]],GroupVertices[Vertex],0)),1,1,"")</f>
        <v>3</v>
      </c>
      <c r="BM161" s="45"/>
      <c r="BN161" s="46"/>
      <c r="BO161" s="45"/>
      <c r="BP161" s="46"/>
      <c r="BQ161" s="45"/>
      <c r="BR161" s="46"/>
      <c r="BS161" s="45"/>
      <c r="BT161" s="46"/>
      <c r="BU161" s="45"/>
    </row>
    <row r="162" spans="1:73" ht="15">
      <c r="A162" s="61" t="s">
        <v>319</v>
      </c>
      <c r="B162" s="61" t="s">
        <v>424</v>
      </c>
      <c r="C162" s="62" t="s">
        <v>11652</v>
      </c>
      <c r="D162" s="63">
        <v>3</v>
      </c>
      <c r="E162" s="64" t="s">
        <v>132</v>
      </c>
      <c r="F162" s="65">
        <v>32</v>
      </c>
      <c r="G162" s="62"/>
      <c r="H162" s="66"/>
      <c r="I162" s="67"/>
      <c r="J162" s="67"/>
      <c r="K162" s="31" t="s">
        <v>65</v>
      </c>
      <c r="L162" s="75">
        <v>162</v>
      </c>
      <c r="M162" s="75"/>
      <c r="N162" s="69"/>
      <c r="O162" s="77" t="s">
        <v>437</v>
      </c>
      <c r="P162" s="79">
        <v>44996.13384259259</v>
      </c>
      <c r="Q162" s="77" t="s">
        <v>557</v>
      </c>
      <c r="R162" s="77">
        <v>0</v>
      </c>
      <c r="S162" s="77">
        <v>0</v>
      </c>
      <c r="T162" s="77">
        <v>0</v>
      </c>
      <c r="U162" s="77">
        <v>0</v>
      </c>
      <c r="V162" s="77">
        <v>26</v>
      </c>
      <c r="W162" s="77"/>
      <c r="X162" s="77"/>
      <c r="Y162" s="77"/>
      <c r="Z162" s="77" t="s">
        <v>645</v>
      </c>
      <c r="AA162" s="77" t="s">
        <v>665</v>
      </c>
      <c r="AB162" s="77" t="s">
        <v>673</v>
      </c>
      <c r="AC162" s="81" t="s">
        <v>677</v>
      </c>
      <c r="AD162" s="77" t="s">
        <v>686</v>
      </c>
      <c r="AE162" s="83" t="str">
        <f>HYPERLINK("https://twitter.com/hardlee73/status/1634391878882963457")</f>
        <v>https://twitter.com/hardlee73/status/1634391878882963457</v>
      </c>
      <c r="AF162" s="79">
        <v>44996.13384259259</v>
      </c>
      <c r="AG162" s="85">
        <v>44996</v>
      </c>
      <c r="AH162" s="81" t="s">
        <v>802</v>
      </c>
      <c r="AI162" s="77" t="b">
        <v>0</v>
      </c>
      <c r="AJ162" s="77" t="s">
        <v>828</v>
      </c>
      <c r="AK162" s="77" t="s">
        <v>849</v>
      </c>
      <c r="AL162" s="77" t="s">
        <v>850</v>
      </c>
      <c r="AM162" s="77" t="s">
        <v>852</v>
      </c>
      <c r="AN162" s="77" t="s">
        <v>874</v>
      </c>
      <c r="AO162" s="77" t="s">
        <v>896</v>
      </c>
      <c r="AP162" s="77" t="s">
        <v>917</v>
      </c>
      <c r="AQ162" s="77" t="s">
        <v>936</v>
      </c>
      <c r="AR162" s="77"/>
      <c r="AS162" s="77"/>
      <c r="AT162" s="77"/>
      <c r="AU162" s="77"/>
      <c r="AV162" s="83" t="str">
        <f>HYPERLINK("https://pbs.twimg.com/tweet_video_thumb/Fq6GvJhakAAm4r2.jpg")</f>
        <v>https://pbs.twimg.com/tweet_video_thumb/Fq6GvJhakAAm4r2.jpg</v>
      </c>
      <c r="AW162" s="81" t="s">
        <v>1056</v>
      </c>
      <c r="AX162" s="81" t="s">
        <v>1135</v>
      </c>
      <c r="AY162" s="81" t="s">
        <v>1198</v>
      </c>
      <c r="AZ162" s="81" t="s">
        <v>1135</v>
      </c>
      <c r="BA162" s="81" t="s">
        <v>1210</v>
      </c>
      <c r="BB162" s="81" t="s">
        <v>1210</v>
      </c>
      <c r="BC162" s="81" t="s">
        <v>1135</v>
      </c>
      <c r="BD162" s="81" t="s">
        <v>1279</v>
      </c>
      <c r="BE162" s="77"/>
      <c r="BF162" s="77"/>
      <c r="BG162" s="77"/>
      <c r="BH162" s="77"/>
      <c r="BI162" s="77"/>
      <c r="BJ162">
        <v>1</v>
      </c>
      <c r="BK162" s="76" t="str">
        <f>REPLACE(INDEX(GroupVertices[Group],MATCH("~"&amp;Edges[[#This Row],[Vertex 1]],GroupVertices[Vertex],0)),1,1,"")</f>
        <v>3</v>
      </c>
      <c r="BL162" s="76" t="str">
        <f>REPLACE(INDEX(GroupVertices[Group],MATCH("~"&amp;Edges[[#This Row],[Vertex 2]],GroupVertices[Vertex],0)),1,1,"")</f>
        <v>3</v>
      </c>
      <c r="BM162" s="45"/>
      <c r="BN162" s="46"/>
      <c r="BO162" s="45"/>
      <c r="BP162" s="46"/>
      <c r="BQ162" s="45"/>
      <c r="BR162" s="46"/>
      <c r="BS162" s="45"/>
      <c r="BT162" s="46"/>
      <c r="BU162" s="45"/>
    </row>
    <row r="163" spans="1:73" ht="15">
      <c r="A163" s="61" t="s">
        <v>319</v>
      </c>
      <c r="B163" s="61" t="s">
        <v>425</v>
      </c>
      <c r="C163" s="62" t="s">
        <v>11652</v>
      </c>
      <c r="D163" s="63">
        <v>3</v>
      </c>
      <c r="E163" s="64" t="s">
        <v>132</v>
      </c>
      <c r="F163" s="65">
        <v>32</v>
      </c>
      <c r="G163" s="62"/>
      <c r="H163" s="66"/>
      <c r="I163" s="67"/>
      <c r="J163" s="67"/>
      <c r="K163" s="31" t="s">
        <v>65</v>
      </c>
      <c r="L163" s="75">
        <v>163</v>
      </c>
      <c r="M163" s="75"/>
      <c r="N163" s="69"/>
      <c r="O163" s="77" t="s">
        <v>438</v>
      </c>
      <c r="P163" s="79">
        <v>44996.13384259259</v>
      </c>
      <c r="Q163" s="77" t="s">
        <v>557</v>
      </c>
      <c r="R163" s="77">
        <v>0</v>
      </c>
      <c r="S163" s="77">
        <v>0</v>
      </c>
      <c r="T163" s="77">
        <v>0</v>
      </c>
      <c r="U163" s="77">
        <v>0</v>
      </c>
      <c r="V163" s="77">
        <v>26</v>
      </c>
      <c r="W163" s="77"/>
      <c r="X163" s="77"/>
      <c r="Y163" s="77"/>
      <c r="Z163" s="77" t="s">
        <v>645</v>
      </c>
      <c r="AA163" s="77" t="s">
        <v>665</v>
      </c>
      <c r="AB163" s="77" t="s">
        <v>673</v>
      </c>
      <c r="AC163" s="81" t="s">
        <v>677</v>
      </c>
      <c r="AD163" s="77" t="s">
        <v>686</v>
      </c>
      <c r="AE163" s="83" t="str">
        <f>HYPERLINK("https://twitter.com/hardlee73/status/1634391878882963457")</f>
        <v>https://twitter.com/hardlee73/status/1634391878882963457</v>
      </c>
      <c r="AF163" s="79">
        <v>44996.13384259259</v>
      </c>
      <c r="AG163" s="85">
        <v>44996</v>
      </c>
      <c r="AH163" s="81" t="s">
        <v>802</v>
      </c>
      <c r="AI163" s="77" t="b">
        <v>0</v>
      </c>
      <c r="AJ163" s="77" t="s">
        <v>828</v>
      </c>
      <c r="AK163" s="77" t="s">
        <v>849</v>
      </c>
      <c r="AL163" s="77" t="s">
        <v>850</v>
      </c>
      <c r="AM163" s="77" t="s">
        <v>852</v>
      </c>
      <c r="AN163" s="77" t="s">
        <v>874</v>
      </c>
      <c r="AO163" s="77" t="s">
        <v>896</v>
      </c>
      <c r="AP163" s="77" t="s">
        <v>917</v>
      </c>
      <c r="AQ163" s="77" t="s">
        <v>936</v>
      </c>
      <c r="AR163" s="77"/>
      <c r="AS163" s="77"/>
      <c r="AT163" s="77"/>
      <c r="AU163" s="77"/>
      <c r="AV163" s="83" t="str">
        <f>HYPERLINK("https://pbs.twimg.com/tweet_video_thumb/Fq6GvJhakAAm4r2.jpg")</f>
        <v>https://pbs.twimg.com/tweet_video_thumb/Fq6GvJhakAAm4r2.jpg</v>
      </c>
      <c r="AW163" s="81" t="s">
        <v>1056</v>
      </c>
      <c r="AX163" s="81" t="s">
        <v>1135</v>
      </c>
      <c r="AY163" s="81" t="s">
        <v>1198</v>
      </c>
      <c r="AZ163" s="81" t="s">
        <v>1135</v>
      </c>
      <c r="BA163" s="81" t="s">
        <v>1210</v>
      </c>
      <c r="BB163" s="81" t="s">
        <v>1210</v>
      </c>
      <c r="BC163" s="81" t="s">
        <v>1135</v>
      </c>
      <c r="BD163" s="81" t="s">
        <v>1279</v>
      </c>
      <c r="BE163" s="77"/>
      <c r="BF163" s="77"/>
      <c r="BG163" s="77"/>
      <c r="BH163" s="77"/>
      <c r="BI163" s="77"/>
      <c r="BJ163">
        <v>1</v>
      </c>
      <c r="BK163" s="76" t="str">
        <f>REPLACE(INDEX(GroupVertices[Group],MATCH("~"&amp;Edges[[#This Row],[Vertex 1]],GroupVertices[Vertex],0)),1,1,"")</f>
        <v>3</v>
      </c>
      <c r="BL163" s="76" t="str">
        <f>REPLACE(INDEX(GroupVertices[Group],MATCH("~"&amp;Edges[[#This Row],[Vertex 2]],GroupVertices[Vertex],0)),1,1,"")</f>
        <v>3</v>
      </c>
      <c r="BM163" s="45">
        <v>0</v>
      </c>
      <c r="BN163" s="46">
        <v>0</v>
      </c>
      <c r="BO163" s="45">
        <v>1</v>
      </c>
      <c r="BP163" s="46">
        <v>5.555555555555555</v>
      </c>
      <c r="BQ163" s="45">
        <v>0</v>
      </c>
      <c r="BR163" s="46">
        <v>0</v>
      </c>
      <c r="BS163" s="45">
        <v>12</v>
      </c>
      <c r="BT163" s="46">
        <v>66.66666666666667</v>
      </c>
      <c r="BU163" s="45">
        <v>18</v>
      </c>
    </row>
    <row r="164" spans="1:73" ht="15">
      <c r="A164" s="61" t="s">
        <v>319</v>
      </c>
      <c r="B164" s="61" t="s">
        <v>426</v>
      </c>
      <c r="C164" s="62" t="s">
        <v>11652</v>
      </c>
      <c r="D164" s="63">
        <v>3</v>
      </c>
      <c r="E164" s="64" t="s">
        <v>132</v>
      </c>
      <c r="F164" s="65">
        <v>32</v>
      </c>
      <c r="G164" s="62"/>
      <c r="H164" s="66"/>
      <c r="I164" s="67"/>
      <c r="J164" s="67"/>
      <c r="K164" s="31" t="s">
        <v>65</v>
      </c>
      <c r="L164" s="75">
        <v>164</v>
      </c>
      <c r="M164" s="75"/>
      <c r="N164" s="69"/>
      <c r="O164" s="77" t="s">
        <v>438</v>
      </c>
      <c r="P164" s="79">
        <v>45277.06253472222</v>
      </c>
      <c r="Q164" s="77" t="s">
        <v>558</v>
      </c>
      <c r="R164" s="77">
        <v>0</v>
      </c>
      <c r="S164" s="77">
        <v>1</v>
      </c>
      <c r="T164" s="77">
        <v>0</v>
      </c>
      <c r="U164" s="77">
        <v>0</v>
      </c>
      <c r="V164" s="77">
        <v>148</v>
      </c>
      <c r="W164" s="77"/>
      <c r="X164" s="77"/>
      <c r="Y164" s="77"/>
      <c r="Z164" s="77" t="s">
        <v>426</v>
      </c>
      <c r="AA164" s="77" t="s">
        <v>666</v>
      </c>
      <c r="AB164" s="77" t="s">
        <v>669</v>
      </c>
      <c r="AC164" s="81" t="s">
        <v>677</v>
      </c>
      <c r="AD164" s="77" t="s">
        <v>686</v>
      </c>
      <c r="AE164" s="83" t="str">
        <f>HYPERLINK("https://twitter.com/hardlee73/status/1736197030660448260")</f>
        <v>https://twitter.com/hardlee73/status/1736197030660448260</v>
      </c>
      <c r="AF164" s="79">
        <v>45277.06253472222</v>
      </c>
      <c r="AG164" s="85">
        <v>45277</v>
      </c>
      <c r="AH164" s="81" t="s">
        <v>803</v>
      </c>
      <c r="AI164" s="77" t="b">
        <v>0</v>
      </c>
      <c r="AJ164" s="77" t="s">
        <v>828</v>
      </c>
      <c r="AK164" s="77" t="s">
        <v>849</v>
      </c>
      <c r="AL164" s="77" t="s">
        <v>850</v>
      </c>
      <c r="AM164" s="77" t="s">
        <v>852</v>
      </c>
      <c r="AN164" s="77" t="s">
        <v>874</v>
      </c>
      <c r="AO164" s="77" t="s">
        <v>896</v>
      </c>
      <c r="AP164" s="77" t="s">
        <v>917</v>
      </c>
      <c r="AQ164" s="77" t="s">
        <v>937</v>
      </c>
      <c r="AR164" s="77"/>
      <c r="AS164" s="77"/>
      <c r="AT164" s="77"/>
      <c r="AU164" s="77"/>
      <c r="AV164" s="83" t="str">
        <f>HYPERLINK("https://pbs.twimg.com/media/GBg1_yVboAAcHVZ.jpg")</f>
        <v>https://pbs.twimg.com/media/GBg1_yVboAAcHVZ.jpg</v>
      </c>
      <c r="AW164" s="81" t="s">
        <v>1057</v>
      </c>
      <c r="AX164" s="81" t="s">
        <v>1136</v>
      </c>
      <c r="AY164" s="81" t="s">
        <v>1199</v>
      </c>
      <c r="AZ164" s="81" t="s">
        <v>1136</v>
      </c>
      <c r="BA164" s="81" t="s">
        <v>1210</v>
      </c>
      <c r="BB164" s="81" t="s">
        <v>1210</v>
      </c>
      <c r="BC164" s="81" t="s">
        <v>1136</v>
      </c>
      <c r="BD164" s="81" t="s">
        <v>1279</v>
      </c>
      <c r="BE164" s="77"/>
      <c r="BF164" s="77"/>
      <c r="BG164" s="77"/>
      <c r="BH164" s="77"/>
      <c r="BI164" s="77"/>
      <c r="BJ164">
        <v>1</v>
      </c>
      <c r="BK164" s="76" t="str">
        <f>REPLACE(INDEX(GroupVertices[Group],MATCH("~"&amp;Edges[[#This Row],[Vertex 1]],GroupVertices[Vertex],0)),1,1,"")</f>
        <v>3</v>
      </c>
      <c r="BL164" s="76" t="str">
        <f>REPLACE(INDEX(GroupVertices[Group],MATCH("~"&amp;Edges[[#This Row],[Vertex 2]],GroupVertices[Vertex],0)),1,1,"")</f>
        <v>3</v>
      </c>
      <c r="BM164" s="45">
        <v>0</v>
      </c>
      <c r="BN164" s="46">
        <v>0</v>
      </c>
      <c r="BO164" s="45">
        <v>1</v>
      </c>
      <c r="BP164" s="46">
        <v>5.555555555555555</v>
      </c>
      <c r="BQ164" s="45">
        <v>0</v>
      </c>
      <c r="BR164" s="46">
        <v>0</v>
      </c>
      <c r="BS164" s="45">
        <v>8</v>
      </c>
      <c r="BT164" s="46">
        <v>44.44444444444444</v>
      </c>
      <c r="BU164" s="45">
        <v>18</v>
      </c>
    </row>
    <row r="165" spans="1:73" ht="15">
      <c r="A165" s="61" t="s">
        <v>320</v>
      </c>
      <c r="B165" s="61" t="s">
        <v>320</v>
      </c>
      <c r="C165" s="62" t="s">
        <v>11652</v>
      </c>
      <c r="D165" s="63">
        <v>3</v>
      </c>
      <c r="E165" s="64" t="s">
        <v>132</v>
      </c>
      <c r="F165" s="65">
        <v>32</v>
      </c>
      <c r="G165" s="62"/>
      <c r="H165" s="66"/>
      <c r="I165" s="67"/>
      <c r="J165" s="67"/>
      <c r="K165" s="31" t="s">
        <v>65</v>
      </c>
      <c r="L165" s="75">
        <v>165</v>
      </c>
      <c r="M165" s="75"/>
      <c r="N165" s="69"/>
      <c r="O165" s="77" t="s">
        <v>178</v>
      </c>
      <c r="P165" s="79">
        <v>45228.822800925926</v>
      </c>
      <c r="Q165" s="77" t="s">
        <v>559</v>
      </c>
      <c r="R165" s="77">
        <v>12</v>
      </c>
      <c r="S165" s="77">
        <v>109</v>
      </c>
      <c r="T165" s="77">
        <v>34</v>
      </c>
      <c r="U165" s="77">
        <v>5</v>
      </c>
      <c r="V165" s="77">
        <v>8943</v>
      </c>
      <c r="W165" s="77"/>
      <c r="X165" s="77"/>
      <c r="Y165" s="77"/>
      <c r="Z165" s="77"/>
      <c r="AA165" s="77"/>
      <c r="AB165" s="77"/>
      <c r="AC165" s="81" t="s">
        <v>675</v>
      </c>
      <c r="AD165" s="77" t="s">
        <v>686</v>
      </c>
      <c r="AE165" s="83" t="str">
        <f>HYPERLINK("https://twitter.com/joannanobanana/status/1718715534114517365")</f>
        <v>https://twitter.com/joannanobanana/status/1718715534114517365</v>
      </c>
      <c r="AF165" s="79">
        <v>45228.822800925926</v>
      </c>
      <c r="AG165" s="85">
        <v>45228</v>
      </c>
      <c r="AH165" s="81" t="s">
        <v>804</v>
      </c>
      <c r="AI165" s="77"/>
      <c r="AJ165" s="77"/>
      <c r="AK165" s="77"/>
      <c r="AL165" s="77"/>
      <c r="AM165" s="77"/>
      <c r="AN165" s="77"/>
      <c r="AO165" s="77"/>
      <c r="AP165" s="77"/>
      <c r="AQ165" s="77"/>
      <c r="AR165" s="77"/>
      <c r="AS165" s="77"/>
      <c r="AT165" s="77"/>
      <c r="AU165" s="77"/>
      <c r="AV165" s="83" t="str">
        <f>HYPERLINK("https://pbs.twimg.com/profile_images/1453942310173962254/JAQtfpiq_normal.jpg")</f>
        <v>https://pbs.twimg.com/profile_images/1453942310173962254/JAQtfpiq_normal.jpg</v>
      </c>
      <c r="AW165" s="81" t="s">
        <v>1058</v>
      </c>
      <c r="AX165" s="81" t="s">
        <v>1058</v>
      </c>
      <c r="AY165" s="77"/>
      <c r="AZ165" s="81" t="s">
        <v>1210</v>
      </c>
      <c r="BA165" s="81" t="s">
        <v>1210</v>
      </c>
      <c r="BB165" s="81" t="s">
        <v>1210</v>
      </c>
      <c r="BC165" s="81" t="s">
        <v>1058</v>
      </c>
      <c r="BD165" s="81" t="s">
        <v>1280</v>
      </c>
      <c r="BE165" s="77"/>
      <c r="BF165" s="77"/>
      <c r="BG165" s="77"/>
      <c r="BH165" s="77"/>
      <c r="BI165" s="77"/>
      <c r="BJ165">
        <v>1</v>
      </c>
      <c r="BK165" s="76" t="str">
        <f>REPLACE(INDEX(GroupVertices[Group],MATCH("~"&amp;Edges[[#This Row],[Vertex 1]],GroupVertices[Vertex],0)),1,1,"")</f>
        <v>37</v>
      </c>
      <c r="BL165" s="76" t="str">
        <f>REPLACE(INDEX(GroupVertices[Group],MATCH("~"&amp;Edges[[#This Row],[Vertex 2]],GroupVertices[Vertex],0)),1,1,"")</f>
        <v>37</v>
      </c>
      <c r="BM165" s="45">
        <v>0</v>
      </c>
      <c r="BN165" s="46">
        <v>0</v>
      </c>
      <c r="BO165" s="45">
        <v>2</v>
      </c>
      <c r="BP165" s="46">
        <v>10.526315789473685</v>
      </c>
      <c r="BQ165" s="45">
        <v>0</v>
      </c>
      <c r="BR165" s="46">
        <v>0</v>
      </c>
      <c r="BS165" s="45">
        <v>9</v>
      </c>
      <c r="BT165" s="46">
        <v>47.36842105263158</v>
      </c>
      <c r="BU165" s="45">
        <v>19</v>
      </c>
    </row>
    <row r="166" spans="1:73" ht="15">
      <c r="A166" s="61" t="s">
        <v>321</v>
      </c>
      <c r="B166" s="61" t="s">
        <v>328</v>
      </c>
      <c r="C166" s="62" t="s">
        <v>11652</v>
      </c>
      <c r="D166" s="63">
        <v>3</v>
      </c>
      <c r="E166" s="64" t="s">
        <v>132</v>
      </c>
      <c r="F166" s="65">
        <v>32</v>
      </c>
      <c r="G166" s="62"/>
      <c r="H166" s="66"/>
      <c r="I166" s="67"/>
      <c r="J166" s="67"/>
      <c r="K166" s="31" t="s">
        <v>65</v>
      </c>
      <c r="L166" s="75">
        <v>166</v>
      </c>
      <c r="M166" s="75"/>
      <c r="N166" s="69"/>
      <c r="O166" s="77" t="s">
        <v>438</v>
      </c>
      <c r="P166" s="79">
        <v>45316.480532407404</v>
      </c>
      <c r="Q166" s="77" t="s">
        <v>560</v>
      </c>
      <c r="R166" s="77">
        <v>0</v>
      </c>
      <c r="S166" s="77">
        <v>0</v>
      </c>
      <c r="T166" s="77">
        <v>0</v>
      </c>
      <c r="U166" s="77">
        <v>0</v>
      </c>
      <c r="V166" s="77">
        <v>25</v>
      </c>
      <c r="W166" s="77"/>
      <c r="X166" s="77"/>
      <c r="Y166" s="77"/>
      <c r="Z166" s="77" t="s">
        <v>328</v>
      </c>
      <c r="AA166" s="77"/>
      <c r="AB166" s="77"/>
      <c r="AC166" s="81" t="s">
        <v>674</v>
      </c>
      <c r="AD166" s="77" t="s">
        <v>686</v>
      </c>
      <c r="AE166" s="83" t="str">
        <f>HYPERLINK("https://twitter.com/henspangled2020/status/1750481635651514547")</f>
        <v>https://twitter.com/henspangled2020/status/1750481635651514547</v>
      </c>
      <c r="AF166" s="79">
        <v>45316.480532407404</v>
      </c>
      <c r="AG166" s="85">
        <v>45316</v>
      </c>
      <c r="AH166" s="81" t="s">
        <v>805</v>
      </c>
      <c r="AI166" s="77"/>
      <c r="AJ166" s="77"/>
      <c r="AK166" s="77"/>
      <c r="AL166" s="77"/>
      <c r="AM166" s="77"/>
      <c r="AN166" s="77"/>
      <c r="AO166" s="77"/>
      <c r="AP166" s="77"/>
      <c r="AQ166" s="77"/>
      <c r="AR166" s="77"/>
      <c r="AS166" s="77"/>
      <c r="AT166" s="77"/>
      <c r="AU166" s="77"/>
      <c r="AV166" s="83" t="str">
        <f>HYPERLINK("https://pbs.twimg.com/profile_images/1751125657168527360/cqKh7Wfy_normal.jpg")</f>
        <v>https://pbs.twimg.com/profile_images/1751125657168527360/cqKh7Wfy_normal.jpg</v>
      </c>
      <c r="AW166" s="81" t="s">
        <v>1059</v>
      </c>
      <c r="AX166" s="81" t="s">
        <v>1137</v>
      </c>
      <c r="AY166" s="81" t="s">
        <v>1200</v>
      </c>
      <c r="AZ166" s="81" t="s">
        <v>1137</v>
      </c>
      <c r="BA166" s="81" t="s">
        <v>1210</v>
      </c>
      <c r="BB166" s="81" t="s">
        <v>1210</v>
      </c>
      <c r="BC166" s="81" t="s">
        <v>1137</v>
      </c>
      <c r="BD166" s="81" t="s">
        <v>1281</v>
      </c>
      <c r="BE166" s="77"/>
      <c r="BF166" s="77"/>
      <c r="BG166" s="77"/>
      <c r="BH166" s="77"/>
      <c r="BI166" s="77"/>
      <c r="BJ166">
        <v>1</v>
      </c>
      <c r="BK166" s="76" t="str">
        <f>REPLACE(INDEX(GroupVertices[Group],MATCH("~"&amp;Edges[[#This Row],[Vertex 1]],GroupVertices[Vertex],0)),1,1,"")</f>
        <v>11</v>
      </c>
      <c r="BL166" s="76" t="str">
        <f>REPLACE(INDEX(GroupVertices[Group],MATCH("~"&amp;Edges[[#This Row],[Vertex 2]],GroupVertices[Vertex],0)),1,1,"")</f>
        <v>11</v>
      </c>
      <c r="BM166" s="45">
        <v>1</v>
      </c>
      <c r="BN166" s="46">
        <v>3.3333333333333335</v>
      </c>
      <c r="BO166" s="45">
        <v>2</v>
      </c>
      <c r="BP166" s="46">
        <v>6.666666666666667</v>
      </c>
      <c r="BQ166" s="45">
        <v>0</v>
      </c>
      <c r="BR166" s="46">
        <v>0</v>
      </c>
      <c r="BS166" s="45">
        <v>9</v>
      </c>
      <c r="BT166" s="46">
        <v>30</v>
      </c>
      <c r="BU166" s="45">
        <v>30</v>
      </c>
    </row>
    <row r="167" spans="1:73" ht="15">
      <c r="A167" s="61" t="s">
        <v>322</v>
      </c>
      <c r="B167" s="61" t="s">
        <v>322</v>
      </c>
      <c r="C167" s="62" t="s">
        <v>11652</v>
      </c>
      <c r="D167" s="63">
        <v>3</v>
      </c>
      <c r="E167" s="64" t="s">
        <v>132</v>
      </c>
      <c r="F167" s="65">
        <v>32</v>
      </c>
      <c r="G167" s="62"/>
      <c r="H167" s="66"/>
      <c r="I167" s="67"/>
      <c r="J167" s="67"/>
      <c r="K167" s="31" t="s">
        <v>65</v>
      </c>
      <c r="L167" s="75">
        <v>167</v>
      </c>
      <c r="M167" s="75"/>
      <c r="N167" s="69"/>
      <c r="O167" s="77" t="s">
        <v>178</v>
      </c>
      <c r="P167" s="79">
        <v>44967.928148148145</v>
      </c>
      <c r="Q167" s="77" t="s">
        <v>561</v>
      </c>
      <c r="R167" s="77">
        <v>12346</v>
      </c>
      <c r="S167" s="77">
        <v>40512</v>
      </c>
      <c r="T167" s="77">
        <v>272</v>
      </c>
      <c r="U167" s="77">
        <v>518</v>
      </c>
      <c r="V167" s="77">
        <v>2734652</v>
      </c>
      <c r="W167" s="77"/>
      <c r="X167" s="77"/>
      <c r="Y167" s="77"/>
      <c r="Z167" s="77"/>
      <c r="AA167" s="77" t="s">
        <v>667</v>
      </c>
      <c r="AB167" s="77" t="s">
        <v>672</v>
      </c>
      <c r="AC167" s="81" t="s">
        <v>674</v>
      </c>
      <c r="AD167" s="77" t="s">
        <v>686</v>
      </c>
      <c r="AE167" s="83" t="str">
        <f>HYPERLINK("https://twitter.com/goodvibepolitik/status/1624170480482541588")</f>
        <v>https://twitter.com/goodvibepolitik/status/1624170480482541588</v>
      </c>
      <c r="AF167" s="79">
        <v>44967.928148148145</v>
      </c>
      <c r="AG167" s="85">
        <v>44967</v>
      </c>
      <c r="AH167" s="81" t="s">
        <v>806</v>
      </c>
      <c r="AI167" s="77" t="b">
        <v>0</v>
      </c>
      <c r="AJ167" s="77"/>
      <c r="AK167" s="77"/>
      <c r="AL167" s="77"/>
      <c r="AM167" s="77"/>
      <c r="AN167" s="77"/>
      <c r="AO167" s="77"/>
      <c r="AP167" s="77"/>
      <c r="AQ167" s="77" t="s">
        <v>938</v>
      </c>
      <c r="AR167" s="77">
        <v>16757</v>
      </c>
      <c r="AS167" s="77"/>
      <c r="AT167" s="77"/>
      <c r="AU167" s="77"/>
      <c r="AV167" s="83" t="str">
        <f>HYPERLINK("https://pbs.twimg.com/ext_tw_video_thumb/1624170319727452188/pu/img/V749mrNUxlckNkI8.jpg")</f>
        <v>https://pbs.twimg.com/ext_tw_video_thumb/1624170319727452188/pu/img/V749mrNUxlckNkI8.jpg</v>
      </c>
      <c r="AW167" s="81" t="s">
        <v>1060</v>
      </c>
      <c r="AX167" s="81" t="s">
        <v>1060</v>
      </c>
      <c r="AY167" s="77"/>
      <c r="AZ167" s="81" t="s">
        <v>1210</v>
      </c>
      <c r="BA167" s="81" t="s">
        <v>1210</v>
      </c>
      <c r="BB167" s="81" t="s">
        <v>1210</v>
      </c>
      <c r="BC167" s="81" t="s">
        <v>1060</v>
      </c>
      <c r="BD167" s="77">
        <v>3240330844</v>
      </c>
      <c r="BE167" s="77"/>
      <c r="BF167" s="77"/>
      <c r="BG167" s="77"/>
      <c r="BH167" s="77"/>
      <c r="BI167" s="77"/>
      <c r="BJ167">
        <v>1</v>
      </c>
      <c r="BK167" s="76" t="str">
        <f>REPLACE(INDEX(GroupVertices[Group],MATCH("~"&amp;Edges[[#This Row],[Vertex 1]],GroupVertices[Vertex],0)),1,1,"")</f>
        <v>31</v>
      </c>
      <c r="BL167" s="76" t="str">
        <f>REPLACE(INDEX(GroupVertices[Group],MATCH("~"&amp;Edges[[#This Row],[Vertex 2]],GroupVertices[Vertex],0)),1,1,"")</f>
        <v>31</v>
      </c>
      <c r="BM167" s="45">
        <v>0</v>
      </c>
      <c r="BN167" s="46">
        <v>0</v>
      </c>
      <c r="BO167" s="45">
        <v>4</v>
      </c>
      <c r="BP167" s="46">
        <v>8.333333333333334</v>
      </c>
      <c r="BQ167" s="45">
        <v>0</v>
      </c>
      <c r="BR167" s="46">
        <v>0</v>
      </c>
      <c r="BS167" s="45">
        <v>24</v>
      </c>
      <c r="BT167" s="46">
        <v>50</v>
      </c>
      <c r="BU167" s="45">
        <v>48</v>
      </c>
    </row>
    <row r="168" spans="1:73" ht="15">
      <c r="A168" s="61" t="s">
        <v>323</v>
      </c>
      <c r="B168" s="61" t="s">
        <v>322</v>
      </c>
      <c r="C168" s="62" t="s">
        <v>11652</v>
      </c>
      <c r="D168" s="63">
        <v>3</v>
      </c>
      <c r="E168" s="64" t="s">
        <v>132</v>
      </c>
      <c r="F168" s="65">
        <v>32</v>
      </c>
      <c r="G168" s="62"/>
      <c r="H168" s="66"/>
      <c r="I168" s="67"/>
      <c r="J168" s="67"/>
      <c r="K168" s="31" t="s">
        <v>65</v>
      </c>
      <c r="L168" s="75">
        <v>168</v>
      </c>
      <c r="M168" s="75"/>
      <c r="N168" s="69"/>
      <c r="O168" s="77" t="s">
        <v>439</v>
      </c>
      <c r="P168" s="79">
        <v>44968.968622685185</v>
      </c>
      <c r="Q168" s="77" t="s">
        <v>562</v>
      </c>
      <c r="R168" s="77">
        <v>0</v>
      </c>
      <c r="S168" s="77">
        <v>0</v>
      </c>
      <c r="T168" s="77">
        <v>0</v>
      </c>
      <c r="U168" s="77">
        <v>0</v>
      </c>
      <c r="V168" s="77">
        <v>22</v>
      </c>
      <c r="W168" s="77"/>
      <c r="X168" s="77"/>
      <c r="Y168" s="77"/>
      <c r="Z168" s="77"/>
      <c r="AA168" s="77"/>
      <c r="AB168" s="77"/>
      <c r="AC168" s="81" t="s">
        <v>674</v>
      </c>
      <c r="AD168" s="77" t="s">
        <v>686</v>
      </c>
      <c r="AE168" s="83" t="str">
        <f>HYPERLINK("https://twitter.com/susan35763565/status/1624547533694582784")</f>
        <v>https://twitter.com/susan35763565/status/1624547533694582784</v>
      </c>
      <c r="AF168" s="79">
        <v>44968.968622685185</v>
      </c>
      <c r="AG168" s="85">
        <v>44968</v>
      </c>
      <c r="AH168" s="81" t="s">
        <v>807</v>
      </c>
      <c r="AI168" s="77"/>
      <c r="AJ168" s="77" t="s">
        <v>845</v>
      </c>
      <c r="AK168" s="77" t="s">
        <v>849</v>
      </c>
      <c r="AL168" s="77" t="s">
        <v>850</v>
      </c>
      <c r="AM168" s="77" t="s">
        <v>869</v>
      </c>
      <c r="AN168" s="77" t="s">
        <v>891</v>
      </c>
      <c r="AO168" s="77" t="s">
        <v>913</v>
      </c>
      <c r="AP168" s="77" t="s">
        <v>917</v>
      </c>
      <c r="AQ168" s="77"/>
      <c r="AR168" s="77"/>
      <c r="AS168" s="77"/>
      <c r="AT168" s="77"/>
      <c r="AU168" s="77"/>
      <c r="AV168" s="83" t="str">
        <f>HYPERLINK("https://pbs.twimg.com/profile_images/1658947378169393152/HfXLBlTP_normal.jpg")</f>
        <v>https://pbs.twimg.com/profile_images/1658947378169393152/HfXLBlTP_normal.jpg</v>
      </c>
      <c r="AW168" s="81" t="s">
        <v>1061</v>
      </c>
      <c r="AX168" s="81" t="s">
        <v>1061</v>
      </c>
      <c r="AY168" s="77"/>
      <c r="AZ168" s="81" t="s">
        <v>1210</v>
      </c>
      <c r="BA168" s="81" t="s">
        <v>1060</v>
      </c>
      <c r="BB168" s="81" t="s">
        <v>1210</v>
      </c>
      <c r="BC168" s="81" t="s">
        <v>1060</v>
      </c>
      <c r="BD168" s="81" t="s">
        <v>1282</v>
      </c>
      <c r="BE168" s="77"/>
      <c r="BF168" s="77"/>
      <c r="BG168" s="77"/>
      <c r="BH168" s="77"/>
      <c r="BI168" s="77"/>
      <c r="BJ168">
        <v>1</v>
      </c>
      <c r="BK168" s="76" t="str">
        <f>REPLACE(INDEX(GroupVertices[Group],MATCH("~"&amp;Edges[[#This Row],[Vertex 1]],GroupVertices[Vertex],0)),1,1,"")</f>
        <v>31</v>
      </c>
      <c r="BL168" s="76" t="str">
        <f>REPLACE(INDEX(GroupVertices[Group],MATCH("~"&amp;Edges[[#This Row],[Vertex 2]],GroupVertices[Vertex],0)),1,1,"")</f>
        <v>31</v>
      </c>
      <c r="BM168" s="45">
        <v>0</v>
      </c>
      <c r="BN168" s="46">
        <v>0</v>
      </c>
      <c r="BO168" s="45">
        <v>5</v>
      </c>
      <c r="BP168" s="46">
        <v>19.23076923076923</v>
      </c>
      <c r="BQ168" s="45">
        <v>0</v>
      </c>
      <c r="BR168" s="46">
        <v>0</v>
      </c>
      <c r="BS168" s="45">
        <v>8</v>
      </c>
      <c r="BT168" s="46">
        <v>30.76923076923077</v>
      </c>
      <c r="BU168" s="45">
        <v>26</v>
      </c>
    </row>
    <row r="169" spans="1:73" ht="15">
      <c r="A169" s="61" t="s">
        <v>324</v>
      </c>
      <c r="B169" s="61" t="s">
        <v>427</v>
      </c>
      <c r="C169" s="62" t="s">
        <v>11652</v>
      </c>
      <c r="D169" s="63">
        <v>3</v>
      </c>
      <c r="E169" s="64" t="s">
        <v>132</v>
      </c>
      <c r="F169" s="65">
        <v>32</v>
      </c>
      <c r="G169" s="62"/>
      <c r="H169" s="66"/>
      <c r="I169" s="67"/>
      <c r="J169" s="67"/>
      <c r="K169" s="31" t="s">
        <v>65</v>
      </c>
      <c r="L169" s="75">
        <v>169</v>
      </c>
      <c r="M169" s="75"/>
      <c r="N169" s="69"/>
      <c r="O169" s="77" t="s">
        <v>438</v>
      </c>
      <c r="P169" s="79">
        <v>45319.264398148145</v>
      </c>
      <c r="Q169" s="77" t="s">
        <v>563</v>
      </c>
      <c r="R169" s="77">
        <v>0</v>
      </c>
      <c r="S169" s="77">
        <v>4</v>
      </c>
      <c r="T169" s="77">
        <v>0</v>
      </c>
      <c r="U169" s="77">
        <v>0</v>
      </c>
      <c r="V169" s="77">
        <v>21</v>
      </c>
      <c r="W169" s="77"/>
      <c r="X169" s="77"/>
      <c r="Y169" s="77"/>
      <c r="Z169" s="77" t="s">
        <v>427</v>
      </c>
      <c r="AA169" s="77"/>
      <c r="AB169" s="77"/>
      <c r="AC169" s="81" t="s">
        <v>678</v>
      </c>
      <c r="AD169" s="77" t="s">
        <v>686</v>
      </c>
      <c r="AE169" s="83" t="str">
        <f>HYPERLINK("https://twitter.com/lindas_here/status/1751490470927368410")</f>
        <v>https://twitter.com/lindas_here/status/1751490470927368410</v>
      </c>
      <c r="AF169" s="79">
        <v>45319.264398148145</v>
      </c>
      <c r="AG169" s="85">
        <v>45319</v>
      </c>
      <c r="AH169" s="81" t="s">
        <v>808</v>
      </c>
      <c r="AI169" s="77"/>
      <c r="AJ169" s="77"/>
      <c r="AK169" s="77"/>
      <c r="AL169" s="77"/>
      <c r="AM169" s="77"/>
      <c r="AN169" s="77"/>
      <c r="AO169" s="77"/>
      <c r="AP169" s="77"/>
      <c r="AQ169" s="77"/>
      <c r="AR169" s="77"/>
      <c r="AS169" s="77"/>
      <c r="AT169" s="77"/>
      <c r="AU169" s="77"/>
      <c r="AV169" s="83" t="str">
        <f>HYPERLINK("https://pbs.twimg.com/profile_images/1746917310584303616/xswFVmds_normal.jpg")</f>
        <v>https://pbs.twimg.com/profile_images/1746917310584303616/xswFVmds_normal.jpg</v>
      </c>
      <c r="AW169" s="81" t="s">
        <v>1062</v>
      </c>
      <c r="AX169" s="81" t="s">
        <v>1138</v>
      </c>
      <c r="AY169" s="81" t="s">
        <v>1201</v>
      </c>
      <c r="AZ169" s="81" t="s">
        <v>1232</v>
      </c>
      <c r="BA169" s="81" t="s">
        <v>1210</v>
      </c>
      <c r="BB169" s="81" t="s">
        <v>1210</v>
      </c>
      <c r="BC169" s="81" t="s">
        <v>1232</v>
      </c>
      <c r="BD169" s="77">
        <v>174242226</v>
      </c>
      <c r="BE169" s="77"/>
      <c r="BF169" s="77"/>
      <c r="BG169" s="77"/>
      <c r="BH169" s="77"/>
      <c r="BI169" s="77"/>
      <c r="BJ169">
        <v>1</v>
      </c>
      <c r="BK169" s="76" t="str">
        <f>REPLACE(INDEX(GroupVertices[Group],MATCH("~"&amp;Edges[[#This Row],[Vertex 1]],GroupVertices[Vertex],0)),1,1,"")</f>
        <v>30</v>
      </c>
      <c r="BL169" s="76" t="str">
        <f>REPLACE(INDEX(GroupVertices[Group],MATCH("~"&amp;Edges[[#This Row],[Vertex 2]],GroupVertices[Vertex],0)),1,1,"")</f>
        <v>30</v>
      </c>
      <c r="BM169" s="45">
        <v>0</v>
      </c>
      <c r="BN169" s="46">
        <v>0</v>
      </c>
      <c r="BO169" s="45">
        <v>6</v>
      </c>
      <c r="BP169" s="46">
        <v>11.11111111111111</v>
      </c>
      <c r="BQ169" s="45">
        <v>0</v>
      </c>
      <c r="BR169" s="46">
        <v>0</v>
      </c>
      <c r="BS169" s="45">
        <v>17</v>
      </c>
      <c r="BT169" s="46">
        <v>31.48148148148148</v>
      </c>
      <c r="BU169" s="45">
        <v>54</v>
      </c>
    </row>
    <row r="170" spans="1:73" ht="15">
      <c r="A170" s="61" t="s">
        <v>325</v>
      </c>
      <c r="B170" s="61" t="s">
        <v>428</v>
      </c>
      <c r="C170" s="62" t="s">
        <v>11652</v>
      </c>
      <c r="D170" s="63">
        <v>3</v>
      </c>
      <c r="E170" s="64" t="s">
        <v>132</v>
      </c>
      <c r="F170" s="65">
        <v>32</v>
      </c>
      <c r="G170" s="62"/>
      <c r="H170" s="66"/>
      <c r="I170" s="67"/>
      <c r="J170" s="67"/>
      <c r="K170" s="31" t="s">
        <v>65</v>
      </c>
      <c r="L170" s="75">
        <v>170</v>
      </c>
      <c r="M170" s="75"/>
      <c r="N170" s="69"/>
      <c r="O170" s="77" t="s">
        <v>438</v>
      </c>
      <c r="P170" s="79">
        <v>45315.56587962963</v>
      </c>
      <c r="Q170" s="77" t="s">
        <v>564</v>
      </c>
      <c r="R170" s="77">
        <v>0</v>
      </c>
      <c r="S170" s="77">
        <v>2</v>
      </c>
      <c r="T170" s="77">
        <v>1</v>
      </c>
      <c r="U170" s="77">
        <v>0</v>
      </c>
      <c r="V170" s="77">
        <v>69</v>
      </c>
      <c r="W170" s="77"/>
      <c r="X170" s="77"/>
      <c r="Y170" s="77"/>
      <c r="Z170" s="77" t="s">
        <v>428</v>
      </c>
      <c r="AA170" s="77"/>
      <c r="AB170" s="77"/>
      <c r="AC170" s="81" t="s">
        <v>675</v>
      </c>
      <c r="AD170" s="77" t="s">
        <v>686</v>
      </c>
      <c r="AE170" s="83" t="str">
        <f>HYPERLINK("https://twitter.com/therealfarley/status/1750150176587809254")</f>
        <v>https://twitter.com/therealfarley/status/1750150176587809254</v>
      </c>
      <c r="AF170" s="79">
        <v>45315.56587962963</v>
      </c>
      <c r="AG170" s="85">
        <v>45315</v>
      </c>
      <c r="AH170" s="81" t="s">
        <v>809</v>
      </c>
      <c r="AI170" s="77"/>
      <c r="AJ170" s="77"/>
      <c r="AK170" s="77"/>
      <c r="AL170" s="77"/>
      <c r="AM170" s="77"/>
      <c r="AN170" s="77"/>
      <c r="AO170" s="77"/>
      <c r="AP170" s="77"/>
      <c r="AQ170" s="77"/>
      <c r="AR170" s="77"/>
      <c r="AS170" s="77"/>
      <c r="AT170" s="77"/>
      <c r="AU170" s="77"/>
      <c r="AV170" s="83" t="str">
        <f>HYPERLINK("https://pbs.twimg.com/profile_images/1706596490054152192/jHFB9TjD_normal.jpg")</f>
        <v>https://pbs.twimg.com/profile_images/1706596490054152192/jHFB9TjD_normal.jpg</v>
      </c>
      <c r="AW170" s="81" t="s">
        <v>1063</v>
      </c>
      <c r="AX170" s="81" t="s">
        <v>1139</v>
      </c>
      <c r="AY170" s="81" t="s">
        <v>1202</v>
      </c>
      <c r="AZ170" s="81" t="s">
        <v>1139</v>
      </c>
      <c r="BA170" s="81" t="s">
        <v>1210</v>
      </c>
      <c r="BB170" s="81" t="s">
        <v>1210</v>
      </c>
      <c r="BC170" s="81" t="s">
        <v>1139</v>
      </c>
      <c r="BD170" s="81" t="s">
        <v>1283</v>
      </c>
      <c r="BE170" s="77"/>
      <c r="BF170" s="77"/>
      <c r="BG170" s="77"/>
      <c r="BH170" s="77"/>
      <c r="BI170" s="77"/>
      <c r="BJ170">
        <v>1</v>
      </c>
      <c r="BK170" s="76" t="str">
        <f>REPLACE(INDEX(GroupVertices[Group],MATCH("~"&amp;Edges[[#This Row],[Vertex 1]],GroupVertices[Vertex],0)),1,1,"")</f>
        <v>29</v>
      </c>
      <c r="BL170" s="76" t="str">
        <f>REPLACE(INDEX(GroupVertices[Group],MATCH("~"&amp;Edges[[#This Row],[Vertex 2]],GroupVertices[Vertex],0)),1,1,"")</f>
        <v>29</v>
      </c>
      <c r="BM170" s="45">
        <v>2</v>
      </c>
      <c r="BN170" s="46">
        <v>3.5714285714285716</v>
      </c>
      <c r="BO170" s="45">
        <v>1</v>
      </c>
      <c r="BP170" s="46">
        <v>1.7857142857142858</v>
      </c>
      <c r="BQ170" s="45">
        <v>0</v>
      </c>
      <c r="BR170" s="46">
        <v>0</v>
      </c>
      <c r="BS170" s="45">
        <v>23</v>
      </c>
      <c r="BT170" s="46">
        <v>41.07142857142857</v>
      </c>
      <c r="BU170" s="45">
        <v>56</v>
      </c>
    </row>
    <row r="171" spans="1:73" ht="15">
      <c r="A171" s="61" t="s">
        <v>326</v>
      </c>
      <c r="B171" s="61" t="s">
        <v>326</v>
      </c>
      <c r="C171" s="62" t="s">
        <v>1410</v>
      </c>
      <c r="D171" s="63">
        <v>10</v>
      </c>
      <c r="E171" s="64" t="s">
        <v>132</v>
      </c>
      <c r="F171" s="65">
        <v>10</v>
      </c>
      <c r="G171" s="62"/>
      <c r="H171" s="66"/>
      <c r="I171" s="67"/>
      <c r="J171" s="67"/>
      <c r="K171" s="31" t="s">
        <v>65</v>
      </c>
      <c r="L171" s="75">
        <v>171</v>
      </c>
      <c r="M171" s="75"/>
      <c r="N171" s="69"/>
      <c r="O171" s="77" t="s">
        <v>178</v>
      </c>
      <c r="P171" s="79">
        <v>45318.833645833336</v>
      </c>
      <c r="Q171" s="77" t="s">
        <v>565</v>
      </c>
      <c r="R171" s="77">
        <v>0</v>
      </c>
      <c r="S171" s="77">
        <v>1</v>
      </c>
      <c r="T171" s="77">
        <v>0</v>
      </c>
      <c r="U171" s="77">
        <v>0</v>
      </c>
      <c r="V171" s="77">
        <v>515</v>
      </c>
      <c r="W171" s="77"/>
      <c r="X171" s="83"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171" s="77" t="s">
        <v>616</v>
      </c>
      <c r="Z171" s="77"/>
      <c r="AA171" s="77"/>
      <c r="AB171" s="77"/>
      <c r="AC171" s="81" t="s">
        <v>683</v>
      </c>
      <c r="AD171" s="77" t="s">
        <v>686</v>
      </c>
      <c r="AE171" s="83" t="str">
        <f>HYPERLINK("https://twitter.com/pdxbizjournal/status/1751334373213777966")</f>
        <v>https://twitter.com/pdxbizjournal/status/1751334373213777966</v>
      </c>
      <c r="AF171" s="79">
        <v>45318.833645833336</v>
      </c>
      <c r="AG171" s="85">
        <v>45318</v>
      </c>
      <c r="AH171" s="81" t="s">
        <v>810</v>
      </c>
      <c r="AI171" s="77" t="b">
        <v>0</v>
      </c>
      <c r="AJ171" s="77"/>
      <c r="AK171" s="77"/>
      <c r="AL171" s="77"/>
      <c r="AM171" s="77"/>
      <c r="AN171" s="77"/>
      <c r="AO171" s="77"/>
      <c r="AP171" s="77"/>
      <c r="AQ171" s="77"/>
      <c r="AR171" s="77"/>
      <c r="AS171" s="77"/>
      <c r="AT171" s="77"/>
      <c r="AU171" s="77"/>
      <c r="AV171" s="83" t="str">
        <f>HYPERLINK("https://pbs.twimg.com/profile_images/378800000261184161/9987150c21b663287165ee5df38f0e0c_normal.png")</f>
        <v>https://pbs.twimg.com/profile_images/378800000261184161/9987150c21b663287165ee5df38f0e0c_normal.png</v>
      </c>
      <c r="AW171" s="81" t="s">
        <v>1064</v>
      </c>
      <c r="AX171" s="81" t="s">
        <v>1064</v>
      </c>
      <c r="AY171" s="77"/>
      <c r="AZ171" s="81" t="s">
        <v>1210</v>
      </c>
      <c r="BA171" s="81" t="s">
        <v>1210</v>
      </c>
      <c r="BB171" s="81" t="s">
        <v>1210</v>
      </c>
      <c r="BC171" s="81" t="s">
        <v>1064</v>
      </c>
      <c r="BD171" s="77">
        <v>17135038</v>
      </c>
      <c r="BE171" s="77"/>
      <c r="BF171" s="77"/>
      <c r="BG171" s="77"/>
      <c r="BH171" s="77"/>
      <c r="BI171" s="77"/>
      <c r="BJ171">
        <v>3</v>
      </c>
      <c r="BK171" s="76" t="str">
        <f>REPLACE(INDEX(GroupVertices[Group],MATCH("~"&amp;Edges[[#This Row],[Vertex 1]],GroupVertices[Vertex],0)),1,1,"")</f>
        <v>1</v>
      </c>
      <c r="BL171" s="76" t="str">
        <f>REPLACE(INDEX(GroupVertices[Group],MATCH("~"&amp;Edges[[#This Row],[Vertex 2]],GroupVertices[Vertex],0)),1,1,"")</f>
        <v>1</v>
      </c>
      <c r="BM171" s="45">
        <v>1</v>
      </c>
      <c r="BN171" s="46">
        <v>3.5714285714285716</v>
      </c>
      <c r="BO171" s="45">
        <v>2</v>
      </c>
      <c r="BP171" s="46">
        <v>7.142857142857143</v>
      </c>
      <c r="BQ171" s="45">
        <v>0</v>
      </c>
      <c r="BR171" s="46">
        <v>0</v>
      </c>
      <c r="BS171" s="45">
        <v>13</v>
      </c>
      <c r="BT171" s="46">
        <v>46.42857142857143</v>
      </c>
      <c r="BU171" s="45">
        <v>28</v>
      </c>
    </row>
    <row r="172" spans="1:73" ht="15">
      <c r="A172" s="61" t="s">
        <v>326</v>
      </c>
      <c r="B172" s="61" t="s">
        <v>326</v>
      </c>
      <c r="C172" s="62" t="s">
        <v>1410</v>
      </c>
      <c r="D172" s="63">
        <v>10</v>
      </c>
      <c r="E172" s="64" t="s">
        <v>132</v>
      </c>
      <c r="F172" s="65">
        <v>10</v>
      </c>
      <c r="G172" s="62"/>
      <c r="H172" s="66"/>
      <c r="I172" s="67"/>
      <c r="J172" s="67"/>
      <c r="K172" s="31" t="s">
        <v>65</v>
      </c>
      <c r="L172" s="75">
        <v>172</v>
      </c>
      <c r="M172" s="75"/>
      <c r="N172" s="69"/>
      <c r="O172" s="77" t="s">
        <v>178</v>
      </c>
      <c r="P172" s="79">
        <v>45318.25033564815</v>
      </c>
      <c r="Q172" s="77" t="s">
        <v>566</v>
      </c>
      <c r="R172" s="77">
        <v>0</v>
      </c>
      <c r="S172" s="77">
        <v>0</v>
      </c>
      <c r="T172" s="77">
        <v>4</v>
      </c>
      <c r="U172" s="77">
        <v>0</v>
      </c>
      <c r="V172" s="77">
        <v>672</v>
      </c>
      <c r="W172" s="77"/>
      <c r="X172" s="83"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172" s="77" t="s">
        <v>616</v>
      </c>
      <c r="Z172" s="77"/>
      <c r="AA172" s="77"/>
      <c r="AB172" s="77"/>
      <c r="AC172" s="81" t="s">
        <v>683</v>
      </c>
      <c r="AD172" s="77" t="s">
        <v>686</v>
      </c>
      <c r="AE172" s="83" t="str">
        <f>HYPERLINK("https://twitter.com/pdxbizjournal/status/1751122990299775023")</f>
        <v>https://twitter.com/pdxbizjournal/status/1751122990299775023</v>
      </c>
      <c r="AF172" s="79">
        <v>45318.25033564815</v>
      </c>
      <c r="AG172" s="85">
        <v>45318</v>
      </c>
      <c r="AH172" s="81" t="s">
        <v>811</v>
      </c>
      <c r="AI172" s="77" t="b">
        <v>0</v>
      </c>
      <c r="AJ172" s="77"/>
      <c r="AK172" s="77"/>
      <c r="AL172" s="77"/>
      <c r="AM172" s="77"/>
      <c r="AN172" s="77"/>
      <c r="AO172" s="77"/>
      <c r="AP172" s="77"/>
      <c r="AQ172" s="77"/>
      <c r="AR172" s="77"/>
      <c r="AS172" s="77"/>
      <c r="AT172" s="77"/>
      <c r="AU172" s="77"/>
      <c r="AV172" s="83" t="str">
        <f>HYPERLINK("https://pbs.twimg.com/profile_images/378800000261184161/9987150c21b663287165ee5df38f0e0c_normal.png")</f>
        <v>https://pbs.twimg.com/profile_images/378800000261184161/9987150c21b663287165ee5df38f0e0c_normal.png</v>
      </c>
      <c r="AW172" s="81" t="s">
        <v>1065</v>
      </c>
      <c r="AX172" s="81" t="s">
        <v>1065</v>
      </c>
      <c r="AY172" s="77"/>
      <c r="AZ172" s="81" t="s">
        <v>1210</v>
      </c>
      <c r="BA172" s="81" t="s">
        <v>1210</v>
      </c>
      <c r="BB172" s="81" t="s">
        <v>1210</v>
      </c>
      <c r="BC172" s="81" t="s">
        <v>1065</v>
      </c>
      <c r="BD172" s="77">
        <v>17135038</v>
      </c>
      <c r="BE172" s="77"/>
      <c r="BF172" s="77"/>
      <c r="BG172" s="77"/>
      <c r="BH172" s="77"/>
      <c r="BI172" s="77"/>
      <c r="BJ172">
        <v>3</v>
      </c>
      <c r="BK172" s="76" t="str">
        <f>REPLACE(INDEX(GroupVertices[Group],MATCH("~"&amp;Edges[[#This Row],[Vertex 1]],GroupVertices[Vertex],0)),1,1,"")</f>
        <v>1</v>
      </c>
      <c r="BL172" s="76" t="str">
        <f>REPLACE(INDEX(GroupVertices[Group],MATCH("~"&amp;Edges[[#This Row],[Vertex 2]],GroupVertices[Vertex],0)),1,1,"")</f>
        <v>1</v>
      </c>
      <c r="BM172" s="45">
        <v>1</v>
      </c>
      <c r="BN172" s="46">
        <v>3.5714285714285716</v>
      </c>
      <c r="BO172" s="45">
        <v>2</v>
      </c>
      <c r="BP172" s="46">
        <v>7.142857142857143</v>
      </c>
      <c r="BQ172" s="45">
        <v>0</v>
      </c>
      <c r="BR172" s="46">
        <v>0</v>
      </c>
      <c r="BS172" s="45">
        <v>13</v>
      </c>
      <c r="BT172" s="46">
        <v>46.42857142857143</v>
      </c>
      <c r="BU172" s="45">
        <v>28</v>
      </c>
    </row>
    <row r="173" spans="1:73" ht="15">
      <c r="A173" s="61" t="s">
        <v>326</v>
      </c>
      <c r="B173" s="61" t="s">
        <v>326</v>
      </c>
      <c r="C173" s="62" t="s">
        <v>1410</v>
      </c>
      <c r="D173" s="63">
        <v>10</v>
      </c>
      <c r="E173" s="64" t="s">
        <v>132</v>
      </c>
      <c r="F173" s="65">
        <v>10</v>
      </c>
      <c r="G173" s="62"/>
      <c r="H173" s="66"/>
      <c r="I173" s="67"/>
      <c r="J173" s="67"/>
      <c r="K173" s="31" t="s">
        <v>65</v>
      </c>
      <c r="L173" s="75">
        <v>173</v>
      </c>
      <c r="M173" s="75"/>
      <c r="N173" s="69"/>
      <c r="O173" s="77" t="s">
        <v>178</v>
      </c>
      <c r="P173" s="79">
        <v>45317.93760416667</v>
      </c>
      <c r="Q173" s="77" t="s">
        <v>567</v>
      </c>
      <c r="R173" s="77">
        <v>0</v>
      </c>
      <c r="S173" s="77">
        <v>0</v>
      </c>
      <c r="T173" s="77">
        <v>0</v>
      </c>
      <c r="U173" s="77">
        <v>0</v>
      </c>
      <c r="V173" s="77">
        <v>475</v>
      </c>
      <c r="W173" s="77"/>
      <c r="X173" s="83"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173" s="77" t="s">
        <v>616</v>
      </c>
      <c r="Z173" s="77"/>
      <c r="AA173" s="77"/>
      <c r="AB173" s="77"/>
      <c r="AC173" s="81" t="s">
        <v>683</v>
      </c>
      <c r="AD173" s="77" t="s">
        <v>686</v>
      </c>
      <c r="AE173" s="83" t="str">
        <f>HYPERLINK("https://twitter.com/pdxbizjournal/status/1751009658565779470")</f>
        <v>https://twitter.com/pdxbizjournal/status/1751009658565779470</v>
      </c>
      <c r="AF173" s="79">
        <v>45317.93760416667</v>
      </c>
      <c r="AG173" s="85">
        <v>45317</v>
      </c>
      <c r="AH173" s="81" t="s">
        <v>812</v>
      </c>
      <c r="AI173" s="77" t="b">
        <v>0</v>
      </c>
      <c r="AJ173" s="77"/>
      <c r="AK173" s="77"/>
      <c r="AL173" s="77"/>
      <c r="AM173" s="77"/>
      <c r="AN173" s="77"/>
      <c r="AO173" s="77"/>
      <c r="AP173" s="77"/>
      <c r="AQ173" s="77"/>
      <c r="AR173" s="77"/>
      <c r="AS173" s="77"/>
      <c r="AT173" s="77"/>
      <c r="AU173" s="77"/>
      <c r="AV173" s="83" t="str">
        <f>HYPERLINK("https://pbs.twimg.com/profile_images/378800000261184161/9987150c21b663287165ee5df38f0e0c_normal.png")</f>
        <v>https://pbs.twimg.com/profile_images/378800000261184161/9987150c21b663287165ee5df38f0e0c_normal.png</v>
      </c>
      <c r="AW173" s="81" t="s">
        <v>1066</v>
      </c>
      <c r="AX173" s="81" t="s">
        <v>1066</v>
      </c>
      <c r="AY173" s="77"/>
      <c r="AZ173" s="81" t="s">
        <v>1210</v>
      </c>
      <c r="BA173" s="81" t="s">
        <v>1210</v>
      </c>
      <c r="BB173" s="81" t="s">
        <v>1210</v>
      </c>
      <c r="BC173" s="81" t="s">
        <v>1066</v>
      </c>
      <c r="BD173" s="77">
        <v>17135038</v>
      </c>
      <c r="BE173" s="77"/>
      <c r="BF173" s="77"/>
      <c r="BG173" s="77"/>
      <c r="BH173" s="77"/>
      <c r="BI173" s="77"/>
      <c r="BJ173">
        <v>3</v>
      </c>
      <c r="BK173" s="76" t="str">
        <f>REPLACE(INDEX(GroupVertices[Group],MATCH("~"&amp;Edges[[#This Row],[Vertex 1]],GroupVertices[Vertex],0)),1,1,"")</f>
        <v>1</v>
      </c>
      <c r="BL173" s="76" t="str">
        <f>REPLACE(INDEX(GroupVertices[Group],MATCH("~"&amp;Edges[[#This Row],[Vertex 2]],GroupVertices[Vertex],0)),1,1,"")</f>
        <v>1</v>
      </c>
      <c r="BM173" s="45">
        <v>1</v>
      </c>
      <c r="BN173" s="46">
        <v>3.5714285714285716</v>
      </c>
      <c r="BO173" s="45">
        <v>2</v>
      </c>
      <c r="BP173" s="46">
        <v>7.142857142857143</v>
      </c>
      <c r="BQ173" s="45">
        <v>0</v>
      </c>
      <c r="BR173" s="46">
        <v>0</v>
      </c>
      <c r="BS173" s="45">
        <v>13</v>
      </c>
      <c r="BT173" s="46">
        <v>46.42857142857143</v>
      </c>
      <c r="BU173" s="45">
        <v>28</v>
      </c>
    </row>
    <row r="174" spans="1:73" ht="15">
      <c r="A174" s="61" t="s">
        <v>327</v>
      </c>
      <c r="B174" s="61" t="s">
        <v>327</v>
      </c>
      <c r="C174" s="62" t="s">
        <v>11652</v>
      </c>
      <c r="D174" s="63">
        <v>3</v>
      </c>
      <c r="E174" s="64" t="s">
        <v>132</v>
      </c>
      <c r="F174" s="65">
        <v>32</v>
      </c>
      <c r="G174" s="62"/>
      <c r="H174" s="66"/>
      <c r="I174" s="67"/>
      <c r="J174" s="67"/>
      <c r="K174" s="31" t="s">
        <v>65</v>
      </c>
      <c r="L174" s="75">
        <v>174</v>
      </c>
      <c r="M174" s="75"/>
      <c r="N174" s="69"/>
      <c r="O174" s="77" t="s">
        <v>178</v>
      </c>
      <c r="P174" s="79">
        <v>45313.17017361111</v>
      </c>
      <c r="Q174" s="77" t="s">
        <v>568</v>
      </c>
      <c r="R174" s="77">
        <v>4</v>
      </c>
      <c r="S174" s="77">
        <v>11</v>
      </c>
      <c r="T174" s="77">
        <v>4</v>
      </c>
      <c r="U174" s="77">
        <v>1</v>
      </c>
      <c r="V174" s="77">
        <v>10227</v>
      </c>
      <c r="W174" s="77"/>
      <c r="X174" s="83" t="str">
        <f>HYPERLINK("https://www.oregonlive.com/nation/2024/01/palestinian-death-toll-in-gaza-surpasses-25000-while-israel-announces-death-of-another-hostage.html?utm_campaign=theoregonian_sf&amp;utm_medium=social&amp;utm_source=twitter")</f>
        <v>https://www.oregonlive.com/nation/2024/01/palestinian-death-toll-in-gaza-surpasses-25000-while-israel-announces-death-of-another-hostage.html?utm_campaign=theoregonian_sf&amp;utm_medium=social&amp;utm_source=twitter</v>
      </c>
      <c r="Y174" s="77" t="s">
        <v>617</v>
      </c>
      <c r="Z174" s="77"/>
      <c r="AA174" s="77"/>
      <c r="AB174" s="77"/>
      <c r="AC174" s="81" t="s">
        <v>684</v>
      </c>
      <c r="AD174" s="77" t="s">
        <v>686</v>
      </c>
      <c r="AE174" s="83" t="str">
        <f>HYPERLINK("https://twitter.com/oregonian/status/1749281997749449163")</f>
        <v>https://twitter.com/oregonian/status/1749281997749449163</v>
      </c>
      <c r="AF174" s="79">
        <v>45313.17017361111</v>
      </c>
      <c r="AG174" s="85">
        <v>45313</v>
      </c>
      <c r="AH174" s="81" t="s">
        <v>813</v>
      </c>
      <c r="AI174" s="77" t="b">
        <v>0</v>
      </c>
      <c r="AJ174" s="77"/>
      <c r="AK174" s="77"/>
      <c r="AL174" s="77"/>
      <c r="AM174" s="77"/>
      <c r="AN174" s="77"/>
      <c r="AO174" s="77"/>
      <c r="AP174" s="77"/>
      <c r="AQ174" s="77"/>
      <c r="AR174" s="77"/>
      <c r="AS174" s="77"/>
      <c r="AT174" s="77"/>
      <c r="AU174" s="77"/>
      <c r="AV174" s="83" t="str">
        <f>HYPERLINK("https://pbs.twimg.com/profile_images/902629136916557824/O7l_oqTE_normal.jpg")</f>
        <v>https://pbs.twimg.com/profile_images/902629136916557824/O7l_oqTE_normal.jpg</v>
      </c>
      <c r="AW174" s="81" t="s">
        <v>1067</v>
      </c>
      <c r="AX174" s="81" t="s">
        <v>1067</v>
      </c>
      <c r="AY174" s="77"/>
      <c r="AZ174" s="81" t="s">
        <v>1210</v>
      </c>
      <c r="BA174" s="81" t="s">
        <v>1210</v>
      </c>
      <c r="BB174" s="81" t="s">
        <v>1210</v>
      </c>
      <c r="BC174" s="81" t="s">
        <v>1067</v>
      </c>
      <c r="BD174" s="77">
        <v>2992751</v>
      </c>
      <c r="BE174" s="77"/>
      <c r="BF174" s="77"/>
      <c r="BG174" s="77"/>
      <c r="BH174" s="77"/>
      <c r="BI174" s="77"/>
      <c r="BJ174">
        <v>1</v>
      </c>
      <c r="BK174" s="76" t="str">
        <f>REPLACE(INDEX(GroupVertices[Group],MATCH("~"&amp;Edges[[#This Row],[Vertex 1]],GroupVertices[Vertex],0)),1,1,"")</f>
        <v>1</v>
      </c>
      <c r="BL174" s="76" t="str">
        <f>REPLACE(INDEX(GroupVertices[Group],MATCH("~"&amp;Edges[[#This Row],[Vertex 2]],GroupVertices[Vertex],0)),1,1,"")</f>
        <v>1</v>
      </c>
      <c r="BM174" s="45">
        <v>0</v>
      </c>
      <c r="BN174" s="46">
        <v>0</v>
      </c>
      <c r="BO174" s="45">
        <v>4</v>
      </c>
      <c r="BP174" s="46">
        <v>26.666666666666668</v>
      </c>
      <c r="BQ174" s="45">
        <v>0</v>
      </c>
      <c r="BR174" s="46">
        <v>0</v>
      </c>
      <c r="BS174" s="45">
        <v>8</v>
      </c>
      <c r="BT174" s="46">
        <v>53.333333333333336</v>
      </c>
      <c r="BU174" s="45">
        <v>15</v>
      </c>
    </row>
    <row r="175" spans="1:73" ht="15">
      <c r="A175" s="61" t="s">
        <v>328</v>
      </c>
      <c r="B175" s="61" t="s">
        <v>328</v>
      </c>
      <c r="C175" s="62" t="s">
        <v>11652</v>
      </c>
      <c r="D175" s="63">
        <v>3</v>
      </c>
      <c r="E175" s="64" t="s">
        <v>132</v>
      </c>
      <c r="F175" s="65">
        <v>32</v>
      </c>
      <c r="G175" s="62"/>
      <c r="H175" s="66"/>
      <c r="I175" s="67"/>
      <c r="J175" s="67"/>
      <c r="K175" s="31" t="s">
        <v>65</v>
      </c>
      <c r="L175" s="75">
        <v>175</v>
      </c>
      <c r="M175" s="75"/>
      <c r="N175" s="69"/>
      <c r="O175" s="77" t="s">
        <v>178</v>
      </c>
      <c r="P175" s="79">
        <v>45293.8646875</v>
      </c>
      <c r="Q175" s="77" t="s">
        <v>569</v>
      </c>
      <c r="R175" s="77">
        <v>69</v>
      </c>
      <c r="S175" s="77">
        <v>154</v>
      </c>
      <c r="T175" s="77">
        <v>19</v>
      </c>
      <c r="U175" s="77">
        <v>2</v>
      </c>
      <c r="V175" s="77">
        <v>5658</v>
      </c>
      <c r="W175" s="77"/>
      <c r="X175" s="83" t="str">
        <f>HYPERLINK("http://www.votebeforetolls.org")</f>
        <v>http://www.votebeforetolls.org</v>
      </c>
      <c r="Y175" s="77" t="s">
        <v>618</v>
      </c>
      <c r="Z175" s="77"/>
      <c r="AA175" s="77" t="s">
        <v>668</v>
      </c>
      <c r="AB175" s="77" t="s">
        <v>672</v>
      </c>
      <c r="AC175" s="81" t="s">
        <v>674</v>
      </c>
      <c r="AD175" s="77" t="s">
        <v>686</v>
      </c>
      <c r="AE175" s="83" t="str">
        <f>HYPERLINK("https://twitter.com/pdxreal1/status/1742285926200672484")</f>
        <v>https://twitter.com/pdxreal1/status/1742285926200672484</v>
      </c>
      <c r="AF175" s="79">
        <v>45293.8646875</v>
      </c>
      <c r="AG175" s="85">
        <v>45293</v>
      </c>
      <c r="AH175" s="81" t="s">
        <v>814</v>
      </c>
      <c r="AI175" s="77" t="b">
        <v>0</v>
      </c>
      <c r="AJ175" s="77"/>
      <c r="AK175" s="77"/>
      <c r="AL175" s="77"/>
      <c r="AM175" s="77"/>
      <c r="AN175" s="77"/>
      <c r="AO175" s="77"/>
      <c r="AP175" s="77"/>
      <c r="AQ175" s="77" t="s">
        <v>939</v>
      </c>
      <c r="AR175" s="77">
        <v>83733</v>
      </c>
      <c r="AS175" s="77"/>
      <c r="AT175" s="77"/>
      <c r="AU175" s="77"/>
      <c r="AV175" s="83" t="str">
        <f>HYPERLINK("https://pbs.twimg.com/amplify_video_thumb/1742285828414693376/img/_WJzrczufsSAQNHz.jpg")</f>
        <v>https://pbs.twimg.com/amplify_video_thumb/1742285828414693376/img/_WJzrczufsSAQNHz.jpg</v>
      </c>
      <c r="AW175" s="81" t="s">
        <v>1068</v>
      </c>
      <c r="AX175" s="81" t="s">
        <v>1068</v>
      </c>
      <c r="AY175" s="77"/>
      <c r="AZ175" s="81" t="s">
        <v>1210</v>
      </c>
      <c r="BA175" s="81" t="s">
        <v>1210</v>
      </c>
      <c r="BB175" s="81" t="s">
        <v>1210</v>
      </c>
      <c r="BC175" s="81" t="s">
        <v>1068</v>
      </c>
      <c r="BD175" s="81" t="s">
        <v>1200</v>
      </c>
      <c r="BE175" s="77"/>
      <c r="BF175" s="77"/>
      <c r="BG175" s="77"/>
      <c r="BH175" s="77"/>
      <c r="BI175" s="77"/>
      <c r="BJ175">
        <v>1</v>
      </c>
      <c r="BK175" s="76" t="str">
        <f>REPLACE(INDEX(GroupVertices[Group],MATCH("~"&amp;Edges[[#This Row],[Vertex 1]],GroupVertices[Vertex],0)),1,1,"")</f>
        <v>11</v>
      </c>
      <c r="BL175" s="76" t="str">
        <f>REPLACE(INDEX(GroupVertices[Group],MATCH("~"&amp;Edges[[#This Row],[Vertex 2]],GroupVertices[Vertex],0)),1,1,"")</f>
        <v>11</v>
      </c>
      <c r="BM175" s="45">
        <v>2</v>
      </c>
      <c r="BN175" s="46">
        <v>5.405405405405405</v>
      </c>
      <c r="BO175" s="45">
        <v>0</v>
      </c>
      <c r="BP175" s="46">
        <v>0</v>
      </c>
      <c r="BQ175" s="45">
        <v>0</v>
      </c>
      <c r="BR175" s="46">
        <v>0</v>
      </c>
      <c r="BS175" s="45">
        <v>16</v>
      </c>
      <c r="BT175" s="46">
        <v>43.24324324324324</v>
      </c>
      <c r="BU175" s="45">
        <v>37</v>
      </c>
    </row>
    <row r="176" spans="1:73" ht="15">
      <c r="A176" s="61" t="s">
        <v>329</v>
      </c>
      <c r="B176" s="61" t="s">
        <v>429</v>
      </c>
      <c r="C176" s="62" t="s">
        <v>11652</v>
      </c>
      <c r="D176" s="63">
        <v>3</v>
      </c>
      <c r="E176" s="64" t="s">
        <v>132</v>
      </c>
      <c r="F176" s="65">
        <v>32</v>
      </c>
      <c r="G176" s="62"/>
      <c r="H176" s="66"/>
      <c r="I176" s="67"/>
      <c r="J176" s="67"/>
      <c r="K176" s="31" t="s">
        <v>65</v>
      </c>
      <c r="L176" s="75">
        <v>176</v>
      </c>
      <c r="M176" s="75"/>
      <c r="N176" s="69"/>
      <c r="O176" s="77" t="s">
        <v>438</v>
      </c>
      <c r="P176" s="79">
        <v>45314.192141203705</v>
      </c>
      <c r="Q176" s="77" t="s">
        <v>570</v>
      </c>
      <c r="R176" s="77">
        <v>0</v>
      </c>
      <c r="S176" s="77">
        <v>1</v>
      </c>
      <c r="T176" s="77">
        <v>0</v>
      </c>
      <c r="U176" s="77">
        <v>0</v>
      </c>
      <c r="V176" s="77">
        <v>236</v>
      </c>
      <c r="W176" s="77"/>
      <c r="X176" s="77"/>
      <c r="Y176" s="77"/>
      <c r="Z176" s="77" t="s">
        <v>429</v>
      </c>
      <c r="AA176" s="77"/>
      <c r="AB176" s="77"/>
      <c r="AC176" s="81" t="s">
        <v>675</v>
      </c>
      <c r="AD176" s="77" t="s">
        <v>686</v>
      </c>
      <c r="AE176" s="83" t="str">
        <f>HYPERLINK("https://twitter.com/zlorple/status/1749652350330143150")</f>
        <v>https://twitter.com/zlorple/status/1749652350330143150</v>
      </c>
      <c r="AF176" s="79">
        <v>45314.192141203705</v>
      </c>
      <c r="AG176" s="85">
        <v>45314</v>
      </c>
      <c r="AH176" s="81" t="s">
        <v>815</v>
      </c>
      <c r="AI176" s="77"/>
      <c r="AJ176" s="77"/>
      <c r="AK176" s="77"/>
      <c r="AL176" s="77"/>
      <c r="AM176" s="77"/>
      <c r="AN176" s="77"/>
      <c r="AO176" s="77"/>
      <c r="AP176" s="77"/>
      <c r="AQ176" s="77"/>
      <c r="AR176" s="77"/>
      <c r="AS176" s="77"/>
      <c r="AT176" s="77"/>
      <c r="AU176" s="77"/>
      <c r="AV176" s="83" t="str">
        <f>HYPERLINK("https://pbs.twimg.com/profile_images/1675571203438940160/xo83RUaY_normal.jpg")</f>
        <v>https://pbs.twimg.com/profile_images/1675571203438940160/xo83RUaY_normal.jpg</v>
      </c>
      <c r="AW176" s="81" t="s">
        <v>1069</v>
      </c>
      <c r="AX176" s="81" t="s">
        <v>1140</v>
      </c>
      <c r="AY176" s="81" t="s">
        <v>1203</v>
      </c>
      <c r="AZ176" s="81" t="s">
        <v>1140</v>
      </c>
      <c r="BA176" s="81" t="s">
        <v>1210</v>
      </c>
      <c r="BB176" s="81" t="s">
        <v>1210</v>
      </c>
      <c r="BC176" s="81" t="s">
        <v>1140</v>
      </c>
      <c r="BD176" s="81" t="s">
        <v>1284</v>
      </c>
      <c r="BE176" s="77"/>
      <c r="BF176" s="77"/>
      <c r="BG176" s="77"/>
      <c r="BH176" s="77"/>
      <c r="BI176" s="77"/>
      <c r="BJ176">
        <v>1</v>
      </c>
      <c r="BK176" s="76" t="str">
        <f>REPLACE(INDEX(GroupVertices[Group],MATCH("~"&amp;Edges[[#This Row],[Vertex 1]],GroupVertices[Vertex],0)),1,1,"")</f>
        <v>28</v>
      </c>
      <c r="BL176" s="76" t="str">
        <f>REPLACE(INDEX(GroupVertices[Group],MATCH("~"&amp;Edges[[#This Row],[Vertex 2]],GroupVertices[Vertex],0)),1,1,"")</f>
        <v>28</v>
      </c>
      <c r="BM176" s="45">
        <v>0</v>
      </c>
      <c r="BN176" s="46">
        <v>0</v>
      </c>
      <c r="BO176" s="45">
        <v>2</v>
      </c>
      <c r="BP176" s="46">
        <v>14.285714285714286</v>
      </c>
      <c r="BQ176" s="45">
        <v>0</v>
      </c>
      <c r="BR176" s="46">
        <v>0</v>
      </c>
      <c r="BS176" s="45">
        <v>9</v>
      </c>
      <c r="BT176" s="46">
        <v>64.28571428571429</v>
      </c>
      <c r="BU176" s="45">
        <v>14</v>
      </c>
    </row>
    <row r="177" spans="1:73" ht="15">
      <c r="A177" s="61" t="s">
        <v>330</v>
      </c>
      <c r="B177" s="61" t="s">
        <v>430</v>
      </c>
      <c r="C177" s="62" t="s">
        <v>11652</v>
      </c>
      <c r="D177" s="63">
        <v>3</v>
      </c>
      <c r="E177" s="64" t="s">
        <v>132</v>
      </c>
      <c r="F177" s="65">
        <v>32</v>
      </c>
      <c r="G177" s="62"/>
      <c r="H177" s="66"/>
      <c r="I177" s="67"/>
      <c r="J177" s="67"/>
      <c r="K177" s="31" t="s">
        <v>65</v>
      </c>
      <c r="L177" s="75">
        <v>177</v>
      </c>
      <c r="M177" s="75"/>
      <c r="N177" s="69"/>
      <c r="O177" s="77" t="s">
        <v>439</v>
      </c>
      <c r="P177" s="79">
        <v>45320.58684027778</v>
      </c>
      <c r="Q177" s="77" t="s">
        <v>571</v>
      </c>
      <c r="R177" s="77">
        <v>0</v>
      </c>
      <c r="S177" s="77">
        <v>1</v>
      </c>
      <c r="T177" s="77">
        <v>0</v>
      </c>
      <c r="U177" s="77">
        <v>0</v>
      </c>
      <c r="V177" s="77">
        <v>123</v>
      </c>
      <c r="W177" s="77"/>
      <c r="X177" s="77"/>
      <c r="Y177" s="77"/>
      <c r="Z177" s="77"/>
      <c r="AA177" s="77"/>
      <c r="AB177" s="77"/>
      <c r="AC177" s="81" t="s">
        <v>677</v>
      </c>
      <c r="AD177" s="77" t="s">
        <v>686</v>
      </c>
      <c r="AE177" s="83" t="str">
        <f>HYPERLINK("https://twitter.com/spartytoon/status/1751969709992640794")</f>
        <v>https://twitter.com/spartytoon/status/1751969709992640794</v>
      </c>
      <c r="AF177" s="79">
        <v>45320.58684027778</v>
      </c>
      <c r="AG177" s="85">
        <v>45320</v>
      </c>
      <c r="AH177" s="81" t="s">
        <v>816</v>
      </c>
      <c r="AI177" s="77"/>
      <c r="AJ177" s="77"/>
      <c r="AK177" s="77"/>
      <c r="AL177" s="77"/>
      <c r="AM177" s="77"/>
      <c r="AN177" s="77"/>
      <c r="AO177" s="77"/>
      <c r="AP177" s="77"/>
      <c r="AQ177" s="77"/>
      <c r="AR177" s="77"/>
      <c r="AS177" s="77"/>
      <c r="AT177" s="77"/>
      <c r="AU177" s="77"/>
      <c r="AV177" s="83" t="str">
        <f>HYPERLINK("https://pbs.twimg.com/profile_images/1518820208676249600/7O4r4Ika_normal.jpg")</f>
        <v>https://pbs.twimg.com/profile_images/1518820208676249600/7O4r4Ika_normal.jpg</v>
      </c>
      <c r="AW177" s="81" t="s">
        <v>1070</v>
      </c>
      <c r="AX177" s="81" t="s">
        <v>1070</v>
      </c>
      <c r="AY177" s="77"/>
      <c r="AZ177" s="81" t="s">
        <v>1210</v>
      </c>
      <c r="BA177" s="81" t="s">
        <v>1235</v>
      </c>
      <c r="BB177" s="81" t="s">
        <v>1210</v>
      </c>
      <c r="BC177" s="81" t="s">
        <v>1235</v>
      </c>
      <c r="BD177" s="77">
        <v>155701809</v>
      </c>
      <c r="BE177" s="77"/>
      <c r="BF177" s="77"/>
      <c r="BG177" s="77"/>
      <c r="BH177" s="77"/>
      <c r="BI177" s="77"/>
      <c r="BJ177">
        <v>1</v>
      </c>
      <c r="BK177" s="76" t="str">
        <f>REPLACE(INDEX(GroupVertices[Group],MATCH("~"&amp;Edges[[#This Row],[Vertex 1]],GroupVertices[Vertex],0)),1,1,"")</f>
        <v>27</v>
      </c>
      <c r="BL177" s="76" t="str">
        <f>REPLACE(INDEX(GroupVertices[Group],MATCH("~"&amp;Edges[[#This Row],[Vertex 2]],GroupVertices[Vertex],0)),1,1,"")</f>
        <v>27</v>
      </c>
      <c r="BM177" s="45">
        <v>0</v>
      </c>
      <c r="BN177" s="46">
        <v>0</v>
      </c>
      <c r="BO177" s="45">
        <v>3</v>
      </c>
      <c r="BP177" s="46">
        <v>27.272727272727273</v>
      </c>
      <c r="BQ177" s="45">
        <v>0</v>
      </c>
      <c r="BR177" s="46">
        <v>0</v>
      </c>
      <c r="BS177" s="45">
        <v>3</v>
      </c>
      <c r="BT177" s="46">
        <v>27.272727272727273</v>
      </c>
      <c r="BU177" s="45">
        <v>11</v>
      </c>
    </row>
    <row r="178" spans="1:73" ht="15">
      <c r="A178" s="61" t="s">
        <v>331</v>
      </c>
      <c r="B178" s="61" t="s">
        <v>431</v>
      </c>
      <c r="C178" s="62" t="s">
        <v>11652</v>
      </c>
      <c r="D178" s="63">
        <v>3</v>
      </c>
      <c r="E178" s="64" t="s">
        <v>132</v>
      </c>
      <c r="F178" s="65">
        <v>32</v>
      </c>
      <c r="G178" s="62"/>
      <c r="H178" s="66"/>
      <c r="I178" s="67"/>
      <c r="J178" s="67"/>
      <c r="K178" s="31" t="s">
        <v>65</v>
      </c>
      <c r="L178" s="75">
        <v>178</v>
      </c>
      <c r="M178" s="75"/>
      <c r="N178" s="69"/>
      <c r="O178" s="77" t="s">
        <v>438</v>
      </c>
      <c r="P178" s="79">
        <v>45151.93568287037</v>
      </c>
      <c r="Q178" s="77" t="s">
        <v>572</v>
      </c>
      <c r="R178" s="77">
        <v>0</v>
      </c>
      <c r="S178" s="77">
        <v>6</v>
      </c>
      <c r="T178" s="77">
        <v>1</v>
      </c>
      <c r="U178" s="77">
        <v>0</v>
      </c>
      <c r="V178" s="77">
        <v>168</v>
      </c>
      <c r="W178" s="77"/>
      <c r="X178" s="77"/>
      <c r="Y178" s="77"/>
      <c r="Z178" s="77" t="s">
        <v>431</v>
      </c>
      <c r="AA178" s="77"/>
      <c r="AB178" s="77"/>
      <c r="AC178" s="81" t="s">
        <v>674</v>
      </c>
      <c r="AD178" s="77" t="s">
        <v>686</v>
      </c>
      <c r="AE178" s="83" t="str">
        <f>HYPERLINK("https://twitter.com/italiangirl104/status/1690852575535665152")</f>
        <v>https://twitter.com/italiangirl104/status/1690852575535665152</v>
      </c>
      <c r="AF178" s="79">
        <v>45151.93568287037</v>
      </c>
      <c r="AG178" s="85">
        <v>45151</v>
      </c>
      <c r="AH178" s="81" t="s">
        <v>817</v>
      </c>
      <c r="AI178" s="77"/>
      <c r="AJ178" s="77" t="s">
        <v>833</v>
      </c>
      <c r="AK178" s="77" t="s">
        <v>849</v>
      </c>
      <c r="AL178" s="77" t="s">
        <v>850</v>
      </c>
      <c r="AM178" s="77" t="s">
        <v>857</v>
      </c>
      <c r="AN178" s="77" t="s">
        <v>879</v>
      </c>
      <c r="AO178" s="77" t="s">
        <v>901</v>
      </c>
      <c r="AP178" s="77" t="s">
        <v>917</v>
      </c>
      <c r="AQ178" s="77"/>
      <c r="AR178" s="77"/>
      <c r="AS178" s="77"/>
      <c r="AT178" s="77"/>
      <c r="AU178" s="77"/>
      <c r="AV178" s="83" t="str">
        <f>HYPERLINK("https://pbs.twimg.com/profile_images/1713971327378538498/vleioOuB_normal.jpg")</f>
        <v>https://pbs.twimg.com/profile_images/1713971327378538498/vleioOuB_normal.jpg</v>
      </c>
      <c r="AW178" s="81" t="s">
        <v>1071</v>
      </c>
      <c r="AX178" s="81" t="s">
        <v>1141</v>
      </c>
      <c r="AY178" s="81" t="s">
        <v>1204</v>
      </c>
      <c r="AZ178" s="81" t="s">
        <v>1233</v>
      </c>
      <c r="BA178" s="81" t="s">
        <v>1210</v>
      </c>
      <c r="BB178" s="81" t="s">
        <v>1210</v>
      </c>
      <c r="BC178" s="81" t="s">
        <v>1233</v>
      </c>
      <c r="BD178" s="81" t="s">
        <v>1285</v>
      </c>
      <c r="BE178" s="77"/>
      <c r="BF178" s="77"/>
      <c r="BG178" s="77"/>
      <c r="BH178" s="77"/>
      <c r="BI178" s="77"/>
      <c r="BJ178">
        <v>1</v>
      </c>
      <c r="BK178" s="76" t="str">
        <f>REPLACE(INDEX(GroupVertices[Group],MATCH("~"&amp;Edges[[#This Row],[Vertex 1]],GroupVertices[Vertex],0)),1,1,"")</f>
        <v>26</v>
      </c>
      <c r="BL178" s="76" t="str">
        <f>REPLACE(INDEX(GroupVertices[Group],MATCH("~"&amp;Edges[[#This Row],[Vertex 2]],GroupVertices[Vertex],0)),1,1,"")</f>
        <v>26</v>
      </c>
      <c r="BM178" s="45">
        <v>1</v>
      </c>
      <c r="BN178" s="46">
        <v>3.4482758620689653</v>
      </c>
      <c r="BO178" s="45">
        <v>2</v>
      </c>
      <c r="BP178" s="46">
        <v>6.896551724137931</v>
      </c>
      <c r="BQ178" s="45">
        <v>0</v>
      </c>
      <c r="BR178" s="46">
        <v>0</v>
      </c>
      <c r="BS178" s="45">
        <v>13</v>
      </c>
      <c r="BT178" s="46">
        <v>44.827586206896555</v>
      </c>
      <c r="BU178" s="45">
        <v>29</v>
      </c>
    </row>
    <row r="179" spans="1:73" ht="15">
      <c r="A179" s="61" t="s">
        <v>332</v>
      </c>
      <c r="B179" s="61" t="s">
        <v>432</v>
      </c>
      <c r="C179" s="62" t="s">
        <v>11652</v>
      </c>
      <c r="D179" s="63">
        <v>3</v>
      </c>
      <c r="E179" s="64" t="s">
        <v>132</v>
      </c>
      <c r="F179" s="65">
        <v>32</v>
      </c>
      <c r="G179" s="62"/>
      <c r="H179" s="66"/>
      <c r="I179" s="67"/>
      <c r="J179" s="67"/>
      <c r="K179" s="31" t="s">
        <v>65</v>
      </c>
      <c r="L179" s="75">
        <v>179</v>
      </c>
      <c r="M179" s="75"/>
      <c r="N179" s="69"/>
      <c r="O179" s="77" t="s">
        <v>438</v>
      </c>
      <c r="P179" s="79">
        <v>45200.59798611111</v>
      </c>
      <c r="Q179" s="77" t="s">
        <v>573</v>
      </c>
      <c r="R179" s="77">
        <v>0</v>
      </c>
      <c r="S179" s="77">
        <v>0</v>
      </c>
      <c r="T179" s="77">
        <v>0</v>
      </c>
      <c r="U179" s="77">
        <v>0</v>
      </c>
      <c r="V179" s="77">
        <v>160</v>
      </c>
      <c r="W179" s="77"/>
      <c r="X179" s="77"/>
      <c r="Y179" s="77"/>
      <c r="Z179" s="77" t="s">
        <v>432</v>
      </c>
      <c r="AA179" s="77"/>
      <c r="AB179" s="77"/>
      <c r="AC179" s="81" t="s">
        <v>674</v>
      </c>
      <c r="AD179" s="77" t="s">
        <v>686</v>
      </c>
      <c r="AE179" s="83" t="str">
        <f>HYPERLINK("https://twitter.com/kenwelcome0001/status/1708487206741201174")</f>
        <v>https://twitter.com/kenwelcome0001/status/1708487206741201174</v>
      </c>
      <c r="AF179" s="79">
        <v>45200.59798611111</v>
      </c>
      <c r="AG179" s="85">
        <v>45200</v>
      </c>
      <c r="AH179" s="81" t="s">
        <v>818</v>
      </c>
      <c r="AI179" s="77"/>
      <c r="AJ179" s="77" t="s">
        <v>828</v>
      </c>
      <c r="AK179" s="77" t="s">
        <v>849</v>
      </c>
      <c r="AL179" s="77" t="s">
        <v>850</v>
      </c>
      <c r="AM179" s="77" t="s">
        <v>852</v>
      </c>
      <c r="AN179" s="77" t="s">
        <v>874</v>
      </c>
      <c r="AO179" s="77" t="s">
        <v>896</v>
      </c>
      <c r="AP179" s="77" t="s">
        <v>917</v>
      </c>
      <c r="AQ179" s="77"/>
      <c r="AR179" s="77"/>
      <c r="AS179" s="77"/>
      <c r="AT179" s="77"/>
      <c r="AU179" s="77"/>
      <c r="AV179" s="83" t="str">
        <f>HYPERLINK("https://pbs.twimg.com/profile_images/1741148346184871936/MjV4muv3_normal.jpg")</f>
        <v>https://pbs.twimg.com/profile_images/1741148346184871936/MjV4muv3_normal.jpg</v>
      </c>
      <c r="AW179" s="81" t="s">
        <v>1072</v>
      </c>
      <c r="AX179" s="81" t="s">
        <v>1142</v>
      </c>
      <c r="AY179" s="81" t="s">
        <v>1205</v>
      </c>
      <c r="AZ179" s="81" t="s">
        <v>1142</v>
      </c>
      <c r="BA179" s="81" t="s">
        <v>1210</v>
      </c>
      <c r="BB179" s="81" t="s">
        <v>1210</v>
      </c>
      <c r="BC179" s="81" t="s">
        <v>1142</v>
      </c>
      <c r="BD179" s="77">
        <v>16542604</v>
      </c>
      <c r="BE179" s="77"/>
      <c r="BF179" s="77"/>
      <c r="BG179" s="77"/>
      <c r="BH179" s="77"/>
      <c r="BI179" s="77"/>
      <c r="BJ179">
        <v>1</v>
      </c>
      <c r="BK179" s="76" t="str">
        <f>REPLACE(INDEX(GroupVertices[Group],MATCH("~"&amp;Edges[[#This Row],[Vertex 1]],GroupVertices[Vertex],0)),1,1,"")</f>
        <v>25</v>
      </c>
      <c r="BL179" s="76" t="str">
        <f>REPLACE(INDEX(GroupVertices[Group],MATCH("~"&amp;Edges[[#This Row],[Vertex 2]],GroupVertices[Vertex],0)),1,1,"")</f>
        <v>25</v>
      </c>
      <c r="BM179" s="45">
        <v>0</v>
      </c>
      <c r="BN179" s="46">
        <v>0</v>
      </c>
      <c r="BO179" s="45">
        <v>3</v>
      </c>
      <c r="BP179" s="46">
        <v>6.818181818181818</v>
      </c>
      <c r="BQ179" s="45">
        <v>0</v>
      </c>
      <c r="BR179" s="46">
        <v>0</v>
      </c>
      <c r="BS179" s="45">
        <v>20</v>
      </c>
      <c r="BT179" s="46">
        <v>45.45454545454545</v>
      </c>
      <c r="BU179" s="45">
        <v>44</v>
      </c>
    </row>
    <row r="180" spans="1:73" ht="15">
      <c r="A180" s="61" t="s">
        <v>333</v>
      </c>
      <c r="B180" s="61" t="s">
        <v>333</v>
      </c>
      <c r="C180" s="62" t="s">
        <v>11652</v>
      </c>
      <c r="D180" s="63">
        <v>3</v>
      </c>
      <c r="E180" s="64" t="s">
        <v>132</v>
      </c>
      <c r="F180" s="65">
        <v>32</v>
      </c>
      <c r="G180" s="62"/>
      <c r="H180" s="66"/>
      <c r="I180" s="67"/>
      <c r="J180" s="67"/>
      <c r="K180" s="31" t="s">
        <v>65</v>
      </c>
      <c r="L180" s="75">
        <v>180</v>
      </c>
      <c r="M180" s="75"/>
      <c r="N180" s="69"/>
      <c r="O180" s="77" t="s">
        <v>178</v>
      </c>
      <c r="P180" s="79">
        <v>44967.06081018518</v>
      </c>
      <c r="Q180" s="77" t="s">
        <v>574</v>
      </c>
      <c r="R180" s="77">
        <v>0</v>
      </c>
      <c r="S180" s="77">
        <v>0</v>
      </c>
      <c r="T180" s="77">
        <v>0</v>
      </c>
      <c r="U180" s="77">
        <v>0</v>
      </c>
      <c r="V180" s="77">
        <v>24</v>
      </c>
      <c r="W180" s="77"/>
      <c r="X180" s="83" t="str">
        <f>HYPERLINK("https://www.washingtonpost.com/world/2023/02/09/turkey-syria-earthquake-death-count-updates/")</f>
        <v>https://www.washingtonpost.com/world/2023/02/09/turkey-syria-earthquake-death-count-updates/</v>
      </c>
      <c r="Y180" s="77" t="s">
        <v>610</v>
      </c>
      <c r="Z180" s="77"/>
      <c r="AA180" s="77"/>
      <c r="AB180" s="77"/>
      <c r="AC180" s="81" t="s">
        <v>675</v>
      </c>
      <c r="AD180" s="77" t="s">
        <v>686</v>
      </c>
      <c r="AE180" s="83" t="str">
        <f>HYPERLINK("https://twitter.com/smilinandy/status/1623856164290318336")</f>
        <v>https://twitter.com/smilinandy/status/1623856164290318336</v>
      </c>
      <c r="AF180" s="79">
        <v>44967.06081018518</v>
      </c>
      <c r="AG180" s="85">
        <v>44967</v>
      </c>
      <c r="AH180" s="81" t="s">
        <v>819</v>
      </c>
      <c r="AI180" s="77" t="b">
        <v>0</v>
      </c>
      <c r="AJ180" s="77" t="s">
        <v>848</v>
      </c>
      <c r="AK180" s="77" t="s">
        <v>849</v>
      </c>
      <c r="AL180" s="77" t="s">
        <v>850</v>
      </c>
      <c r="AM180" s="77" t="s">
        <v>872</v>
      </c>
      <c r="AN180" s="77" t="s">
        <v>894</v>
      </c>
      <c r="AO180" s="77" t="s">
        <v>916</v>
      </c>
      <c r="AP180" s="77" t="s">
        <v>917</v>
      </c>
      <c r="AQ180" s="77"/>
      <c r="AR180" s="77"/>
      <c r="AS180" s="77"/>
      <c r="AT180" s="77"/>
      <c r="AU180" s="77"/>
      <c r="AV180" s="83" t="str">
        <f>HYPERLINK("https://pbs.twimg.com/profile_images/1743760727331180544/4kh4luMw_normal.jpg")</f>
        <v>https://pbs.twimg.com/profile_images/1743760727331180544/4kh4luMw_normal.jpg</v>
      </c>
      <c r="AW180" s="81" t="s">
        <v>1073</v>
      </c>
      <c r="AX180" s="81" t="s">
        <v>1073</v>
      </c>
      <c r="AY180" s="77"/>
      <c r="AZ180" s="81" t="s">
        <v>1210</v>
      </c>
      <c r="BA180" s="81" t="s">
        <v>1210</v>
      </c>
      <c r="BB180" s="81" t="s">
        <v>1210</v>
      </c>
      <c r="BC180" s="81" t="s">
        <v>1073</v>
      </c>
      <c r="BD180" s="81" t="s">
        <v>1286</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v>
      </c>
      <c r="BM180" s="45">
        <v>0</v>
      </c>
      <c r="BN180" s="46">
        <v>0</v>
      </c>
      <c r="BO180" s="45">
        <v>1</v>
      </c>
      <c r="BP180" s="46">
        <v>10</v>
      </c>
      <c r="BQ180" s="45">
        <v>0</v>
      </c>
      <c r="BR180" s="46">
        <v>0</v>
      </c>
      <c r="BS180" s="45">
        <v>8</v>
      </c>
      <c r="BT180" s="46">
        <v>80</v>
      </c>
      <c r="BU180" s="45">
        <v>10</v>
      </c>
    </row>
    <row r="181" spans="1:73" ht="15">
      <c r="A181" s="61" t="s">
        <v>334</v>
      </c>
      <c r="B181" s="61" t="s">
        <v>334</v>
      </c>
      <c r="C181" s="62" t="s">
        <v>11652</v>
      </c>
      <c r="D181" s="63">
        <v>3</v>
      </c>
      <c r="E181" s="64" t="s">
        <v>132</v>
      </c>
      <c r="F181" s="65">
        <v>32</v>
      </c>
      <c r="G181" s="62"/>
      <c r="H181" s="66"/>
      <c r="I181" s="67"/>
      <c r="J181" s="67"/>
      <c r="K181" s="31" t="s">
        <v>65</v>
      </c>
      <c r="L181" s="75">
        <v>181</v>
      </c>
      <c r="M181" s="75"/>
      <c r="N181" s="69"/>
      <c r="O181" s="77" t="s">
        <v>178</v>
      </c>
      <c r="P181" s="79">
        <v>45145.981157407405</v>
      </c>
      <c r="Q181" s="77" t="s">
        <v>575</v>
      </c>
      <c r="R181" s="77">
        <v>0</v>
      </c>
      <c r="S181" s="77">
        <v>0</v>
      </c>
      <c r="T181" s="77">
        <v>0</v>
      </c>
      <c r="U181" s="77">
        <v>0</v>
      </c>
      <c r="V181" s="77">
        <v>192</v>
      </c>
      <c r="W181" s="77"/>
      <c r="X181" s="77"/>
      <c r="Y181" s="77"/>
      <c r="Z181" s="77"/>
      <c r="AA181" s="77"/>
      <c r="AB181" s="77"/>
      <c r="AC181" s="81" t="s">
        <v>674</v>
      </c>
      <c r="AD181" s="77" t="s">
        <v>686</v>
      </c>
      <c r="AE181" s="83" t="str">
        <f>HYPERLINK("https://twitter.com/wintheday848/status/1688694729750523904")</f>
        <v>https://twitter.com/wintheday848/status/1688694729750523904</v>
      </c>
      <c r="AF181" s="79">
        <v>45145.981157407405</v>
      </c>
      <c r="AG181" s="85">
        <v>45145</v>
      </c>
      <c r="AH181" s="81" t="s">
        <v>820</v>
      </c>
      <c r="AI181" s="77"/>
      <c r="AJ181" s="77" t="s">
        <v>828</v>
      </c>
      <c r="AK181" s="77" t="s">
        <v>849</v>
      </c>
      <c r="AL181" s="77" t="s">
        <v>850</v>
      </c>
      <c r="AM181" s="77" t="s">
        <v>852</v>
      </c>
      <c r="AN181" s="77" t="s">
        <v>874</v>
      </c>
      <c r="AO181" s="77" t="s">
        <v>896</v>
      </c>
      <c r="AP181" s="77" t="s">
        <v>917</v>
      </c>
      <c r="AQ181" s="77"/>
      <c r="AR181" s="77"/>
      <c r="AS181" s="77"/>
      <c r="AT181" s="77"/>
      <c r="AU181" s="77"/>
      <c r="AV181" s="83" t="str">
        <f>HYPERLINK("https://pbs.twimg.com/profile_images/1653076172551651329/iKgmSKZh_normal.jpg")</f>
        <v>https://pbs.twimg.com/profile_images/1653076172551651329/iKgmSKZh_normal.jpg</v>
      </c>
      <c r="AW181" s="81" t="s">
        <v>1074</v>
      </c>
      <c r="AX181" s="81" t="s">
        <v>1074</v>
      </c>
      <c r="AY181" s="77"/>
      <c r="AZ181" s="81" t="s">
        <v>1210</v>
      </c>
      <c r="BA181" s="81" t="s">
        <v>1210</v>
      </c>
      <c r="BB181" s="81" t="s">
        <v>1210</v>
      </c>
      <c r="BC181" s="81" t="s">
        <v>1074</v>
      </c>
      <c r="BD181" s="77">
        <v>3114063950</v>
      </c>
      <c r="BE181" s="77"/>
      <c r="BF181" s="77"/>
      <c r="BG181" s="77"/>
      <c r="BH181" s="77"/>
      <c r="BI181" s="77"/>
      <c r="BJ181">
        <v>1</v>
      </c>
      <c r="BK181" s="76" t="str">
        <f>REPLACE(INDEX(GroupVertices[Group],MATCH("~"&amp;Edges[[#This Row],[Vertex 1]],GroupVertices[Vertex],0)),1,1,"")</f>
        <v>1</v>
      </c>
      <c r="BL181" s="76" t="str">
        <f>REPLACE(INDEX(GroupVertices[Group],MATCH("~"&amp;Edges[[#This Row],[Vertex 2]],GroupVertices[Vertex],0)),1,1,"")</f>
        <v>1</v>
      </c>
      <c r="BM181" s="45">
        <v>0</v>
      </c>
      <c r="BN181" s="46">
        <v>0</v>
      </c>
      <c r="BO181" s="45">
        <v>1</v>
      </c>
      <c r="BP181" s="46">
        <v>4</v>
      </c>
      <c r="BQ181" s="45">
        <v>0</v>
      </c>
      <c r="BR181" s="46">
        <v>0</v>
      </c>
      <c r="BS181" s="45">
        <v>8</v>
      </c>
      <c r="BT181" s="46">
        <v>32</v>
      </c>
      <c r="BU181" s="45">
        <v>25</v>
      </c>
    </row>
    <row r="182" spans="1:73" ht="15">
      <c r="A182" s="61" t="s">
        <v>335</v>
      </c>
      <c r="B182" s="61" t="s">
        <v>335</v>
      </c>
      <c r="C182" s="62" t="s">
        <v>11652</v>
      </c>
      <c r="D182" s="63">
        <v>3</v>
      </c>
      <c r="E182" s="64" t="s">
        <v>132</v>
      </c>
      <c r="F182" s="65">
        <v>32</v>
      </c>
      <c r="G182" s="62"/>
      <c r="H182" s="66"/>
      <c r="I182" s="67"/>
      <c r="J182" s="67"/>
      <c r="K182" s="31" t="s">
        <v>65</v>
      </c>
      <c r="L182" s="75">
        <v>182</v>
      </c>
      <c r="M182" s="75"/>
      <c r="N182" s="69"/>
      <c r="O182" s="77" t="s">
        <v>178</v>
      </c>
      <c r="P182" s="79">
        <v>45313.000069444446</v>
      </c>
      <c r="Q182" s="77" t="s">
        <v>576</v>
      </c>
      <c r="R182" s="77">
        <v>1</v>
      </c>
      <c r="S182" s="77">
        <v>6</v>
      </c>
      <c r="T182" s="77">
        <v>28</v>
      </c>
      <c r="U182" s="77">
        <v>0</v>
      </c>
      <c r="V182" s="77">
        <v>5434</v>
      </c>
      <c r="W182" s="77"/>
      <c r="X182" s="83" t="str">
        <f>HYPERLINK("https://www.kptv.com/2024/01/21/palestinian-death-toll-soars-past-25000-gaza-with-no-end-sight-israel-hamas-war/")</f>
        <v>https://www.kptv.com/2024/01/21/palestinian-death-toll-soars-past-25000-gaza-with-no-end-sight-israel-hamas-war/</v>
      </c>
      <c r="Y182" s="77" t="s">
        <v>619</v>
      </c>
      <c r="Z182" s="77"/>
      <c r="AA182" s="77"/>
      <c r="AB182" s="77"/>
      <c r="AC182" s="81" t="s">
        <v>685</v>
      </c>
      <c r="AD182" s="77" t="s">
        <v>686</v>
      </c>
      <c r="AE182" s="83" t="str">
        <f>HYPERLINK("https://twitter.com/fox12oregon/status/1749220355334422815")</f>
        <v>https://twitter.com/fox12oregon/status/1749220355334422815</v>
      </c>
      <c r="AF182" s="79">
        <v>45313.000069444446</v>
      </c>
      <c r="AG182" s="85">
        <v>45313</v>
      </c>
      <c r="AH182" s="81" t="s">
        <v>821</v>
      </c>
      <c r="AI182" s="77" t="b">
        <v>0</v>
      </c>
      <c r="AJ182" s="77"/>
      <c r="AK182" s="77"/>
      <c r="AL182" s="77"/>
      <c r="AM182" s="77"/>
      <c r="AN182" s="77"/>
      <c r="AO182" s="77"/>
      <c r="AP182" s="77"/>
      <c r="AQ182" s="77"/>
      <c r="AR182" s="77"/>
      <c r="AS182" s="77"/>
      <c r="AT182" s="77"/>
      <c r="AU182" s="77"/>
      <c r="AV182" s="83" t="str">
        <f>HYPERLINK("https://pbs.twimg.com/profile_images/1519076253948514304/cGzuNsOd_normal.jpg")</f>
        <v>https://pbs.twimg.com/profile_images/1519076253948514304/cGzuNsOd_normal.jpg</v>
      </c>
      <c r="AW182" s="81" t="s">
        <v>1075</v>
      </c>
      <c r="AX182" s="81" t="s">
        <v>1075</v>
      </c>
      <c r="AY182" s="77"/>
      <c r="AZ182" s="81" t="s">
        <v>1210</v>
      </c>
      <c r="BA182" s="81" t="s">
        <v>1210</v>
      </c>
      <c r="BB182" s="81" t="s">
        <v>1210</v>
      </c>
      <c r="BC182" s="81" t="s">
        <v>1075</v>
      </c>
      <c r="BD182" s="77">
        <v>15564045</v>
      </c>
      <c r="BE182" s="77"/>
      <c r="BF182" s="77"/>
      <c r="BG182" s="77"/>
      <c r="BH182" s="77"/>
      <c r="BI182" s="77"/>
      <c r="BJ182">
        <v>1</v>
      </c>
      <c r="BK182" s="76" t="str">
        <f>REPLACE(INDEX(GroupVertices[Group],MATCH("~"&amp;Edges[[#This Row],[Vertex 1]],GroupVertices[Vertex],0)),1,1,"")</f>
        <v>24</v>
      </c>
      <c r="BL182" s="76" t="str">
        <f>REPLACE(INDEX(GroupVertices[Group],MATCH("~"&amp;Edges[[#This Row],[Vertex 2]],GroupVertices[Vertex],0)),1,1,"")</f>
        <v>24</v>
      </c>
      <c r="BM182" s="45">
        <v>0</v>
      </c>
      <c r="BN182" s="46">
        <v>0</v>
      </c>
      <c r="BO182" s="45">
        <v>2</v>
      </c>
      <c r="BP182" s="46">
        <v>11.11111111111111</v>
      </c>
      <c r="BQ182" s="45">
        <v>0</v>
      </c>
      <c r="BR182" s="46">
        <v>0</v>
      </c>
      <c r="BS182" s="45">
        <v>11</v>
      </c>
      <c r="BT182" s="46">
        <v>61.111111111111114</v>
      </c>
      <c r="BU182" s="45">
        <v>18</v>
      </c>
    </row>
    <row r="183" spans="1:73" ht="15">
      <c r="A183" s="61" t="s">
        <v>336</v>
      </c>
      <c r="B183" s="61" t="s">
        <v>335</v>
      </c>
      <c r="C183" s="62" t="s">
        <v>11652</v>
      </c>
      <c r="D183" s="63">
        <v>3</v>
      </c>
      <c r="E183" s="64" t="s">
        <v>132</v>
      </c>
      <c r="F183" s="65">
        <v>32</v>
      </c>
      <c r="G183" s="62"/>
      <c r="H183" s="66"/>
      <c r="I183" s="67"/>
      <c r="J183" s="67"/>
      <c r="K183" s="31" t="s">
        <v>65</v>
      </c>
      <c r="L183" s="75">
        <v>183</v>
      </c>
      <c r="M183" s="75"/>
      <c r="N183" s="69"/>
      <c r="O183" s="77" t="s">
        <v>440</v>
      </c>
      <c r="P183" s="79">
        <v>45225.58219907407</v>
      </c>
      <c r="Q183" s="77" t="s">
        <v>577</v>
      </c>
      <c r="R183" s="77">
        <v>4</v>
      </c>
      <c r="S183" s="77">
        <v>14</v>
      </c>
      <c r="T183" s="77">
        <v>4</v>
      </c>
      <c r="U183" s="77">
        <v>1</v>
      </c>
      <c r="V183" s="77">
        <v>5160</v>
      </c>
      <c r="W183" s="77"/>
      <c r="X183" s="77"/>
      <c r="Y183" s="77"/>
      <c r="Z183" s="77" t="s">
        <v>335</v>
      </c>
      <c r="AA183" s="77"/>
      <c r="AB183" s="77"/>
      <c r="AC183" s="81" t="s">
        <v>675</v>
      </c>
      <c r="AD183" s="77" t="s">
        <v>686</v>
      </c>
      <c r="AE183" s="83" t="str">
        <f>HYPERLINK("https://twitter.com/miavtv/status/1717541180458881371")</f>
        <v>https://twitter.com/miavtv/status/1717541180458881371</v>
      </c>
      <c r="AF183" s="79">
        <v>45225.58219907407</v>
      </c>
      <c r="AG183" s="85">
        <v>45225</v>
      </c>
      <c r="AH183" s="81" t="s">
        <v>822</v>
      </c>
      <c r="AI183" s="77"/>
      <c r="AJ183" s="77"/>
      <c r="AK183" s="77"/>
      <c r="AL183" s="77"/>
      <c r="AM183" s="77"/>
      <c r="AN183" s="77"/>
      <c r="AO183" s="77"/>
      <c r="AP183" s="77"/>
      <c r="AQ183" s="77"/>
      <c r="AR183" s="77"/>
      <c r="AS183" s="77"/>
      <c r="AT183" s="77"/>
      <c r="AU183" s="77"/>
      <c r="AV183" s="83" t="str">
        <f>HYPERLINK("https://pbs.twimg.com/profile_images/1449016357652078592/67q4vPNc_normal.jpg")</f>
        <v>https://pbs.twimg.com/profile_images/1449016357652078592/67q4vPNc_normal.jpg</v>
      </c>
      <c r="AW183" s="81" t="s">
        <v>1076</v>
      </c>
      <c r="AX183" s="81" t="s">
        <v>1076</v>
      </c>
      <c r="AY183" s="77"/>
      <c r="AZ183" s="81" t="s">
        <v>1210</v>
      </c>
      <c r="BA183" s="81" t="s">
        <v>1210</v>
      </c>
      <c r="BB183" s="81" t="s">
        <v>1210</v>
      </c>
      <c r="BC183" s="81" t="s">
        <v>1076</v>
      </c>
      <c r="BD183" s="81" t="s">
        <v>1287</v>
      </c>
      <c r="BE183" s="77"/>
      <c r="BF183" s="77"/>
      <c r="BG183" s="77"/>
      <c r="BH183" s="77"/>
      <c r="BI183" s="77"/>
      <c r="BJ183">
        <v>1</v>
      </c>
      <c r="BK183" s="76" t="str">
        <f>REPLACE(INDEX(GroupVertices[Group],MATCH("~"&amp;Edges[[#This Row],[Vertex 1]],GroupVertices[Vertex],0)),1,1,"")</f>
        <v>24</v>
      </c>
      <c r="BL183" s="76" t="str">
        <f>REPLACE(INDEX(GroupVertices[Group],MATCH("~"&amp;Edges[[#This Row],[Vertex 2]],GroupVertices[Vertex],0)),1,1,"")</f>
        <v>24</v>
      </c>
      <c r="BM183" s="45">
        <v>0</v>
      </c>
      <c r="BN183" s="46">
        <v>0</v>
      </c>
      <c r="BO183" s="45">
        <v>3</v>
      </c>
      <c r="BP183" s="46">
        <v>6</v>
      </c>
      <c r="BQ183" s="45">
        <v>0</v>
      </c>
      <c r="BR183" s="46">
        <v>0</v>
      </c>
      <c r="BS183" s="45">
        <v>26</v>
      </c>
      <c r="BT183" s="46">
        <v>52</v>
      </c>
      <c r="BU183" s="45">
        <v>50</v>
      </c>
    </row>
    <row r="184" spans="1:73" ht="15">
      <c r="A184" s="61" t="s">
        <v>336</v>
      </c>
      <c r="B184" s="61" t="s">
        <v>336</v>
      </c>
      <c r="C184" s="62" t="s">
        <v>11652</v>
      </c>
      <c r="D184" s="63">
        <v>3</v>
      </c>
      <c r="E184" s="64" t="s">
        <v>132</v>
      </c>
      <c r="F184" s="65">
        <v>32</v>
      </c>
      <c r="G184" s="62"/>
      <c r="H184" s="66"/>
      <c r="I184" s="67"/>
      <c r="J184" s="67"/>
      <c r="K184" s="31" t="s">
        <v>65</v>
      </c>
      <c r="L184" s="75">
        <v>184</v>
      </c>
      <c r="M184" s="75"/>
      <c r="N184" s="69"/>
      <c r="O184" s="77" t="s">
        <v>439</v>
      </c>
      <c r="P184" s="79">
        <v>45225.70421296296</v>
      </c>
      <c r="Q184" s="77" t="s">
        <v>578</v>
      </c>
      <c r="R184" s="77">
        <v>1</v>
      </c>
      <c r="S184" s="77">
        <v>2</v>
      </c>
      <c r="T184" s="77">
        <v>0</v>
      </c>
      <c r="U184" s="77">
        <v>0</v>
      </c>
      <c r="V184" s="77">
        <v>1085</v>
      </c>
      <c r="W184" s="77"/>
      <c r="X184" s="77"/>
      <c r="Y184" s="77"/>
      <c r="Z184" s="77"/>
      <c r="AA184" s="77"/>
      <c r="AB184" s="77"/>
      <c r="AC184" s="81" t="s">
        <v>674</v>
      </c>
      <c r="AD184" s="77" t="s">
        <v>686</v>
      </c>
      <c r="AE184" s="83" t="str">
        <f>HYPERLINK("https://twitter.com/miavtv/status/1717585398829031795")</f>
        <v>https://twitter.com/miavtv/status/1717585398829031795</v>
      </c>
      <c r="AF184" s="79">
        <v>45225.70421296296</v>
      </c>
      <c r="AG184" s="85">
        <v>45225</v>
      </c>
      <c r="AH184" s="81" t="s">
        <v>823</v>
      </c>
      <c r="AI184" s="77"/>
      <c r="AJ184" s="77" t="s">
        <v>837</v>
      </c>
      <c r="AK184" s="77" t="s">
        <v>849</v>
      </c>
      <c r="AL184" s="77" t="s">
        <v>850</v>
      </c>
      <c r="AM184" s="77" t="s">
        <v>861</v>
      </c>
      <c r="AN184" s="77" t="s">
        <v>883</v>
      </c>
      <c r="AO184" s="77" t="s">
        <v>905</v>
      </c>
      <c r="AP184" s="77" t="s">
        <v>917</v>
      </c>
      <c r="AQ184" s="77"/>
      <c r="AR184" s="77"/>
      <c r="AS184" s="77"/>
      <c r="AT184" s="77"/>
      <c r="AU184" s="77"/>
      <c r="AV184" s="83" t="str">
        <f>HYPERLINK("https://pbs.twimg.com/profile_images/1449016357652078592/67q4vPNc_normal.jpg")</f>
        <v>https://pbs.twimg.com/profile_images/1449016357652078592/67q4vPNc_normal.jpg</v>
      </c>
      <c r="AW184" s="81" t="s">
        <v>1077</v>
      </c>
      <c r="AX184" s="81" t="s">
        <v>1077</v>
      </c>
      <c r="AY184" s="77"/>
      <c r="AZ184" s="81" t="s">
        <v>1210</v>
      </c>
      <c r="BA184" s="81" t="s">
        <v>1076</v>
      </c>
      <c r="BB184" s="81" t="s">
        <v>1210</v>
      </c>
      <c r="BC184" s="81" t="s">
        <v>1076</v>
      </c>
      <c r="BD184" s="81" t="s">
        <v>1287</v>
      </c>
      <c r="BE184" s="77"/>
      <c r="BF184" s="77"/>
      <c r="BG184" s="77"/>
      <c r="BH184" s="77"/>
      <c r="BI184" s="77"/>
      <c r="BJ184">
        <v>1</v>
      </c>
      <c r="BK184" s="76" t="str">
        <f>REPLACE(INDEX(GroupVertices[Group],MATCH("~"&amp;Edges[[#This Row],[Vertex 1]],GroupVertices[Vertex],0)),1,1,"")</f>
        <v>24</v>
      </c>
      <c r="BL184" s="76" t="str">
        <f>REPLACE(INDEX(GroupVertices[Group],MATCH("~"&amp;Edges[[#This Row],[Vertex 2]],GroupVertices[Vertex],0)),1,1,"")</f>
        <v>24</v>
      </c>
      <c r="BM184" s="45">
        <v>0</v>
      </c>
      <c r="BN184" s="46">
        <v>0</v>
      </c>
      <c r="BO184" s="45">
        <v>3</v>
      </c>
      <c r="BP184" s="46">
        <v>17.647058823529413</v>
      </c>
      <c r="BQ184" s="45">
        <v>0</v>
      </c>
      <c r="BR184" s="46">
        <v>0</v>
      </c>
      <c r="BS184" s="45">
        <v>12</v>
      </c>
      <c r="BT184" s="46">
        <v>70.58823529411765</v>
      </c>
      <c r="BU184" s="45">
        <v>17</v>
      </c>
    </row>
    <row r="185" spans="1:73" ht="15">
      <c r="A185" s="61" t="s">
        <v>337</v>
      </c>
      <c r="B185" s="61" t="s">
        <v>350</v>
      </c>
      <c r="C185" s="62" t="s">
        <v>11652</v>
      </c>
      <c r="D185" s="63">
        <v>3</v>
      </c>
      <c r="E185" s="64" t="s">
        <v>132</v>
      </c>
      <c r="F185" s="65">
        <v>32</v>
      </c>
      <c r="G185" s="62"/>
      <c r="H185" s="66"/>
      <c r="I185" s="67"/>
      <c r="J185" s="67"/>
      <c r="K185" s="31" t="s">
        <v>65</v>
      </c>
      <c r="L185" s="75">
        <v>185</v>
      </c>
      <c r="M185" s="75"/>
      <c r="N185" s="69"/>
      <c r="O185" s="77" t="s">
        <v>438</v>
      </c>
      <c r="P185" s="79">
        <v>45302.62452546296</v>
      </c>
      <c r="Q185" s="77" t="s">
        <v>579</v>
      </c>
      <c r="R185" s="77">
        <v>0</v>
      </c>
      <c r="S185" s="77">
        <v>0</v>
      </c>
      <c r="T185" s="77">
        <v>1</v>
      </c>
      <c r="U185" s="77">
        <v>0</v>
      </c>
      <c r="V185" s="77">
        <v>88</v>
      </c>
      <c r="W185" s="81" t="s">
        <v>596</v>
      </c>
      <c r="X185" s="77"/>
      <c r="Y185" s="77"/>
      <c r="Z185" s="77" t="s">
        <v>350</v>
      </c>
      <c r="AA185" s="77"/>
      <c r="AB185" s="77"/>
      <c r="AC185" s="81" t="s">
        <v>677</v>
      </c>
      <c r="AD185" s="77" t="s">
        <v>686</v>
      </c>
      <c r="AE185" s="83" t="str">
        <f>HYPERLINK("https://twitter.com/kavanah613/status/1745460385216594281")</f>
        <v>https://twitter.com/kavanah613/status/1745460385216594281</v>
      </c>
      <c r="AF185" s="79">
        <v>45302.62452546296</v>
      </c>
      <c r="AG185" s="85">
        <v>45302</v>
      </c>
      <c r="AH185" s="81" t="s">
        <v>824</v>
      </c>
      <c r="AI185" s="77"/>
      <c r="AJ185" s="77" t="s">
        <v>840</v>
      </c>
      <c r="AK185" s="77" t="s">
        <v>849</v>
      </c>
      <c r="AL185" s="77" t="s">
        <v>850</v>
      </c>
      <c r="AM185" s="77" t="s">
        <v>864</v>
      </c>
      <c r="AN185" s="77" t="s">
        <v>886</v>
      </c>
      <c r="AO185" s="77" t="s">
        <v>908</v>
      </c>
      <c r="AP185" s="77" t="s">
        <v>917</v>
      </c>
      <c r="AQ185" s="77"/>
      <c r="AR185" s="77"/>
      <c r="AS185" s="77"/>
      <c r="AT185" s="77"/>
      <c r="AU185" s="77"/>
      <c r="AV185" s="83" t="str">
        <f>HYPERLINK("https://pbs.twimg.com/profile_images/1086878175076872192/csiEd6v6_normal.jpg")</f>
        <v>https://pbs.twimg.com/profile_images/1086878175076872192/csiEd6v6_normal.jpg</v>
      </c>
      <c r="AW185" s="81" t="s">
        <v>1078</v>
      </c>
      <c r="AX185" s="81" t="s">
        <v>1143</v>
      </c>
      <c r="AY185" s="81" t="s">
        <v>1151</v>
      </c>
      <c r="AZ185" s="81" t="s">
        <v>1143</v>
      </c>
      <c r="BA185" s="81" t="s">
        <v>1210</v>
      </c>
      <c r="BB185" s="81" t="s">
        <v>1210</v>
      </c>
      <c r="BC185" s="81" t="s">
        <v>1143</v>
      </c>
      <c r="BD185" s="77">
        <v>35806364</v>
      </c>
      <c r="BE185" s="77"/>
      <c r="BF185" s="77"/>
      <c r="BG185" s="77"/>
      <c r="BH185" s="77"/>
      <c r="BI185" s="77"/>
      <c r="BJ185">
        <v>1</v>
      </c>
      <c r="BK185" s="76" t="str">
        <f>REPLACE(INDEX(GroupVertices[Group],MATCH("~"&amp;Edges[[#This Row],[Vertex 1]],GroupVertices[Vertex],0)),1,1,"")</f>
        <v>2</v>
      </c>
      <c r="BL185" s="76" t="str">
        <f>REPLACE(INDEX(GroupVertices[Group],MATCH("~"&amp;Edges[[#This Row],[Vertex 2]],GroupVertices[Vertex],0)),1,1,"")</f>
        <v>2</v>
      </c>
      <c r="BM185" s="45">
        <v>1</v>
      </c>
      <c r="BN185" s="46">
        <v>3.225806451612903</v>
      </c>
      <c r="BO185" s="45">
        <v>1</v>
      </c>
      <c r="BP185" s="46">
        <v>3.225806451612903</v>
      </c>
      <c r="BQ185" s="45">
        <v>0</v>
      </c>
      <c r="BR185" s="46">
        <v>0</v>
      </c>
      <c r="BS185" s="45">
        <v>14</v>
      </c>
      <c r="BT185" s="46">
        <v>45.16129032258065</v>
      </c>
      <c r="BU185" s="45">
        <v>31</v>
      </c>
    </row>
    <row r="186" spans="1:73" ht="15">
      <c r="A186" s="61" t="s">
        <v>338</v>
      </c>
      <c r="B186" s="61" t="s">
        <v>433</v>
      </c>
      <c r="C186" s="62" t="s">
        <v>11652</v>
      </c>
      <c r="D186" s="63">
        <v>3</v>
      </c>
      <c r="E186" s="64" t="s">
        <v>132</v>
      </c>
      <c r="F186" s="65">
        <v>32</v>
      </c>
      <c r="G186" s="62"/>
      <c r="H186" s="66"/>
      <c r="I186" s="67"/>
      <c r="J186" s="67"/>
      <c r="K186" s="31" t="s">
        <v>65</v>
      </c>
      <c r="L186" s="75">
        <v>186</v>
      </c>
      <c r="M186" s="75"/>
      <c r="N186" s="69"/>
      <c r="O186" s="77" t="s">
        <v>437</v>
      </c>
      <c r="P186" s="79">
        <v>45137.73716435185</v>
      </c>
      <c r="Q186" s="77" t="s">
        <v>580</v>
      </c>
      <c r="R186" s="77">
        <v>0</v>
      </c>
      <c r="S186" s="77">
        <v>3</v>
      </c>
      <c r="T186" s="77">
        <v>1</v>
      </c>
      <c r="U186" s="77">
        <v>0</v>
      </c>
      <c r="V186" s="77">
        <v>24</v>
      </c>
      <c r="W186" s="77"/>
      <c r="X186" s="77"/>
      <c r="Y186" s="77"/>
      <c r="Z186" s="77" t="s">
        <v>646</v>
      </c>
      <c r="AA186" s="77"/>
      <c r="AB186" s="77"/>
      <c r="AC186" s="81" t="s">
        <v>674</v>
      </c>
      <c r="AD186" s="77" t="s">
        <v>686</v>
      </c>
      <c r="AE186" s="83" t="str">
        <f>HYPERLINK("https://twitter.com/zciwogor/status/1685707206535356417")</f>
        <v>https://twitter.com/zciwogor/status/1685707206535356417</v>
      </c>
      <c r="AF186" s="79">
        <v>45137.73716435185</v>
      </c>
      <c r="AG186" s="85">
        <v>45137</v>
      </c>
      <c r="AH186" s="81" t="s">
        <v>825</v>
      </c>
      <c r="AI186" s="77"/>
      <c r="AJ186" s="77" t="s">
        <v>846</v>
      </c>
      <c r="AK186" s="77" t="s">
        <v>849</v>
      </c>
      <c r="AL186" s="77" t="s">
        <v>850</v>
      </c>
      <c r="AM186" s="77" t="s">
        <v>870</v>
      </c>
      <c r="AN186" s="77" t="s">
        <v>892</v>
      </c>
      <c r="AO186" s="77" t="s">
        <v>914</v>
      </c>
      <c r="AP186" s="77" t="s">
        <v>917</v>
      </c>
      <c r="AQ186" s="77"/>
      <c r="AR186" s="77"/>
      <c r="AS186" s="77"/>
      <c r="AT186" s="77"/>
      <c r="AU186" s="77"/>
      <c r="AV186" s="83" t="str">
        <f>HYPERLINK("https://pbs.twimg.com/profile_images/1681786098190815232/zk_d_1f6_normal.jpg")</f>
        <v>https://pbs.twimg.com/profile_images/1681786098190815232/zk_d_1f6_normal.jpg</v>
      </c>
      <c r="AW186" s="81" t="s">
        <v>1079</v>
      </c>
      <c r="AX186" s="81" t="s">
        <v>1144</v>
      </c>
      <c r="AY186" s="81" t="s">
        <v>1206</v>
      </c>
      <c r="AZ186" s="81" t="s">
        <v>1234</v>
      </c>
      <c r="BA186" s="81" t="s">
        <v>1210</v>
      </c>
      <c r="BB186" s="81" t="s">
        <v>1210</v>
      </c>
      <c r="BC186" s="81" t="s">
        <v>1234</v>
      </c>
      <c r="BD186" s="77">
        <v>139196645</v>
      </c>
      <c r="BE186" s="77"/>
      <c r="BF186" s="77"/>
      <c r="BG186" s="77"/>
      <c r="BH186" s="77"/>
      <c r="BI186" s="77"/>
      <c r="BJ186">
        <v>1</v>
      </c>
      <c r="BK186" s="76" t="str">
        <f>REPLACE(INDEX(GroupVertices[Group],MATCH("~"&amp;Edges[[#This Row],[Vertex 1]],GroupVertices[Vertex],0)),1,1,"")</f>
        <v>8</v>
      </c>
      <c r="BL186" s="76" t="str">
        <f>REPLACE(INDEX(GroupVertices[Group],MATCH("~"&amp;Edges[[#This Row],[Vertex 2]],GroupVertices[Vertex],0)),1,1,"")</f>
        <v>8</v>
      </c>
      <c r="BM186" s="45"/>
      <c r="BN186" s="46"/>
      <c r="BO186" s="45"/>
      <c r="BP186" s="46"/>
      <c r="BQ186" s="45"/>
      <c r="BR186" s="46"/>
      <c r="BS186" s="45"/>
      <c r="BT186" s="46"/>
      <c r="BU186" s="45"/>
    </row>
    <row r="187" spans="1:73" ht="15">
      <c r="A187" s="61" t="s">
        <v>338</v>
      </c>
      <c r="B187" s="61" t="s">
        <v>434</v>
      </c>
      <c r="C187" s="62" t="s">
        <v>11652</v>
      </c>
      <c r="D187" s="63">
        <v>3</v>
      </c>
      <c r="E187" s="64" t="s">
        <v>132</v>
      </c>
      <c r="F187" s="65">
        <v>32</v>
      </c>
      <c r="G187" s="62"/>
      <c r="H187" s="66"/>
      <c r="I187" s="67"/>
      <c r="J187" s="67"/>
      <c r="K187" s="31" t="s">
        <v>65</v>
      </c>
      <c r="L187" s="75">
        <v>187</v>
      </c>
      <c r="M187" s="75"/>
      <c r="N187" s="69"/>
      <c r="O187" s="77" t="s">
        <v>437</v>
      </c>
      <c r="P187" s="79">
        <v>45137.73716435185</v>
      </c>
      <c r="Q187" s="77" t="s">
        <v>580</v>
      </c>
      <c r="R187" s="77">
        <v>0</v>
      </c>
      <c r="S187" s="77">
        <v>3</v>
      </c>
      <c r="T187" s="77">
        <v>1</v>
      </c>
      <c r="U187" s="77">
        <v>0</v>
      </c>
      <c r="V187" s="77">
        <v>24</v>
      </c>
      <c r="W187" s="77"/>
      <c r="X187" s="77"/>
      <c r="Y187" s="77"/>
      <c r="Z187" s="77" t="s">
        <v>646</v>
      </c>
      <c r="AA187" s="77"/>
      <c r="AB187" s="77"/>
      <c r="AC187" s="81" t="s">
        <v>674</v>
      </c>
      <c r="AD187" s="77" t="s">
        <v>686</v>
      </c>
      <c r="AE187" s="83" t="str">
        <f>HYPERLINK("https://twitter.com/zciwogor/status/1685707206535356417")</f>
        <v>https://twitter.com/zciwogor/status/1685707206535356417</v>
      </c>
      <c r="AF187" s="79">
        <v>45137.73716435185</v>
      </c>
      <c r="AG187" s="85">
        <v>45137</v>
      </c>
      <c r="AH187" s="81" t="s">
        <v>825</v>
      </c>
      <c r="AI187" s="77"/>
      <c r="AJ187" s="77" t="s">
        <v>846</v>
      </c>
      <c r="AK187" s="77" t="s">
        <v>849</v>
      </c>
      <c r="AL187" s="77" t="s">
        <v>850</v>
      </c>
      <c r="AM187" s="77" t="s">
        <v>870</v>
      </c>
      <c r="AN187" s="77" t="s">
        <v>892</v>
      </c>
      <c r="AO187" s="77" t="s">
        <v>914</v>
      </c>
      <c r="AP187" s="77" t="s">
        <v>917</v>
      </c>
      <c r="AQ187" s="77"/>
      <c r="AR187" s="77"/>
      <c r="AS187" s="77"/>
      <c r="AT187" s="77"/>
      <c r="AU187" s="77"/>
      <c r="AV187" s="83" t="str">
        <f>HYPERLINK("https://pbs.twimg.com/profile_images/1681786098190815232/zk_d_1f6_normal.jpg")</f>
        <v>https://pbs.twimg.com/profile_images/1681786098190815232/zk_d_1f6_normal.jpg</v>
      </c>
      <c r="AW187" s="81" t="s">
        <v>1079</v>
      </c>
      <c r="AX187" s="81" t="s">
        <v>1144</v>
      </c>
      <c r="AY187" s="81" t="s">
        <v>1206</v>
      </c>
      <c r="AZ187" s="81" t="s">
        <v>1234</v>
      </c>
      <c r="BA187" s="81" t="s">
        <v>1210</v>
      </c>
      <c r="BB187" s="81" t="s">
        <v>1210</v>
      </c>
      <c r="BC187" s="81" t="s">
        <v>1234</v>
      </c>
      <c r="BD187" s="77">
        <v>139196645</v>
      </c>
      <c r="BE187" s="77"/>
      <c r="BF187" s="77"/>
      <c r="BG187" s="77"/>
      <c r="BH187" s="77"/>
      <c r="BI187" s="77"/>
      <c r="BJ187">
        <v>1</v>
      </c>
      <c r="BK187" s="76" t="str">
        <f>REPLACE(INDEX(GroupVertices[Group],MATCH("~"&amp;Edges[[#This Row],[Vertex 1]],GroupVertices[Vertex],0)),1,1,"")</f>
        <v>8</v>
      </c>
      <c r="BL187" s="76" t="str">
        <f>REPLACE(INDEX(GroupVertices[Group],MATCH("~"&amp;Edges[[#This Row],[Vertex 2]],GroupVertices[Vertex],0)),1,1,"")</f>
        <v>8</v>
      </c>
      <c r="BM187" s="45"/>
      <c r="BN187" s="46"/>
      <c r="BO187" s="45"/>
      <c r="BP187" s="46"/>
      <c r="BQ187" s="45"/>
      <c r="BR187" s="46"/>
      <c r="BS187" s="45"/>
      <c r="BT187" s="46"/>
      <c r="BU187" s="45"/>
    </row>
    <row r="188" spans="1:73" ht="15">
      <c r="A188" s="61" t="s">
        <v>338</v>
      </c>
      <c r="B188" s="61" t="s">
        <v>435</v>
      </c>
      <c r="C188" s="62" t="s">
        <v>11652</v>
      </c>
      <c r="D188" s="63">
        <v>3</v>
      </c>
      <c r="E188" s="64" t="s">
        <v>132</v>
      </c>
      <c r="F188" s="65">
        <v>32</v>
      </c>
      <c r="G188" s="62"/>
      <c r="H188" s="66"/>
      <c r="I188" s="67"/>
      <c r="J188" s="67"/>
      <c r="K188" s="31" t="s">
        <v>65</v>
      </c>
      <c r="L188" s="75">
        <v>188</v>
      </c>
      <c r="M188" s="75"/>
      <c r="N188" s="69"/>
      <c r="O188" s="77" t="s">
        <v>437</v>
      </c>
      <c r="P188" s="79">
        <v>45137.73716435185</v>
      </c>
      <c r="Q188" s="77" t="s">
        <v>580</v>
      </c>
      <c r="R188" s="77">
        <v>0</v>
      </c>
      <c r="S188" s="77">
        <v>3</v>
      </c>
      <c r="T188" s="77">
        <v>1</v>
      </c>
      <c r="U188" s="77">
        <v>0</v>
      </c>
      <c r="V188" s="77">
        <v>24</v>
      </c>
      <c r="W188" s="77"/>
      <c r="X188" s="77"/>
      <c r="Y188" s="77"/>
      <c r="Z188" s="77" t="s">
        <v>646</v>
      </c>
      <c r="AA188" s="77"/>
      <c r="AB188" s="77"/>
      <c r="AC188" s="81" t="s">
        <v>674</v>
      </c>
      <c r="AD188" s="77" t="s">
        <v>686</v>
      </c>
      <c r="AE188" s="83" t="str">
        <f>HYPERLINK("https://twitter.com/zciwogor/status/1685707206535356417")</f>
        <v>https://twitter.com/zciwogor/status/1685707206535356417</v>
      </c>
      <c r="AF188" s="79">
        <v>45137.73716435185</v>
      </c>
      <c r="AG188" s="85">
        <v>45137</v>
      </c>
      <c r="AH188" s="81" t="s">
        <v>825</v>
      </c>
      <c r="AI188" s="77"/>
      <c r="AJ188" s="77" t="s">
        <v>846</v>
      </c>
      <c r="AK188" s="77" t="s">
        <v>849</v>
      </c>
      <c r="AL188" s="77" t="s">
        <v>850</v>
      </c>
      <c r="AM188" s="77" t="s">
        <v>870</v>
      </c>
      <c r="AN188" s="77" t="s">
        <v>892</v>
      </c>
      <c r="AO188" s="77" t="s">
        <v>914</v>
      </c>
      <c r="AP188" s="77" t="s">
        <v>917</v>
      </c>
      <c r="AQ188" s="77"/>
      <c r="AR188" s="77"/>
      <c r="AS188" s="77"/>
      <c r="AT188" s="77"/>
      <c r="AU188" s="77"/>
      <c r="AV188" s="83" t="str">
        <f>HYPERLINK("https://pbs.twimg.com/profile_images/1681786098190815232/zk_d_1f6_normal.jpg")</f>
        <v>https://pbs.twimg.com/profile_images/1681786098190815232/zk_d_1f6_normal.jpg</v>
      </c>
      <c r="AW188" s="81" t="s">
        <v>1079</v>
      </c>
      <c r="AX188" s="81" t="s">
        <v>1144</v>
      </c>
      <c r="AY188" s="81" t="s">
        <v>1206</v>
      </c>
      <c r="AZ188" s="81" t="s">
        <v>1234</v>
      </c>
      <c r="BA188" s="81" t="s">
        <v>1210</v>
      </c>
      <c r="BB188" s="81" t="s">
        <v>1210</v>
      </c>
      <c r="BC188" s="81" t="s">
        <v>1234</v>
      </c>
      <c r="BD188" s="77">
        <v>139196645</v>
      </c>
      <c r="BE188" s="77"/>
      <c r="BF188" s="77"/>
      <c r="BG188" s="77"/>
      <c r="BH188" s="77"/>
      <c r="BI188" s="77"/>
      <c r="BJ188">
        <v>1</v>
      </c>
      <c r="BK188" s="76" t="str">
        <f>REPLACE(INDEX(GroupVertices[Group],MATCH("~"&amp;Edges[[#This Row],[Vertex 1]],GroupVertices[Vertex],0)),1,1,"")</f>
        <v>8</v>
      </c>
      <c r="BL188" s="76" t="str">
        <f>REPLACE(INDEX(GroupVertices[Group],MATCH("~"&amp;Edges[[#This Row],[Vertex 2]],GroupVertices[Vertex],0)),1,1,"")</f>
        <v>8</v>
      </c>
      <c r="BM188" s="45"/>
      <c r="BN188" s="46"/>
      <c r="BO188" s="45"/>
      <c r="BP188" s="46"/>
      <c r="BQ188" s="45"/>
      <c r="BR188" s="46"/>
      <c r="BS188" s="45"/>
      <c r="BT188" s="46"/>
      <c r="BU188" s="45"/>
    </row>
    <row r="189" spans="1:73" ht="15">
      <c r="A189" s="61" t="s">
        <v>338</v>
      </c>
      <c r="B189" s="61" t="s">
        <v>435</v>
      </c>
      <c r="C189" s="62" t="s">
        <v>11652</v>
      </c>
      <c r="D189" s="63">
        <v>3</v>
      </c>
      <c r="E189" s="64" t="s">
        <v>132</v>
      </c>
      <c r="F189" s="65">
        <v>32</v>
      </c>
      <c r="G189" s="62"/>
      <c r="H189" s="66"/>
      <c r="I189" s="67"/>
      <c r="J189" s="67"/>
      <c r="K189" s="31" t="s">
        <v>65</v>
      </c>
      <c r="L189" s="75">
        <v>189</v>
      </c>
      <c r="M189" s="75"/>
      <c r="N189" s="69"/>
      <c r="O189" s="77" t="s">
        <v>438</v>
      </c>
      <c r="P189" s="79">
        <v>45137.73716435185</v>
      </c>
      <c r="Q189" s="77" t="s">
        <v>580</v>
      </c>
      <c r="R189" s="77">
        <v>0</v>
      </c>
      <c r="S189" s="77">
        <v>3</v>
      </c>
      <c r="T189" s="77">
        <v>1</v>
      </c>
      <c r="U189" s="77">
        <v>0</v>
      </c>
      <c r="V189" s="77">
        <v>24</v>
      </c>
      <c r="W189" s="77"/>
      <c r="X189" s="77"/>
      <c r="Y189" s="77"/>
      <c r="Z189" s="77" t="s">
        <v>646</v>
      </c>
      <c r="AA189" s="77"/>
      <c r="AB189" s="77"/>
      <c r="AC189" s="81" t="s">
        <v>674</v>
      </c>
      <c r="AD189" s="77" t="s">
        <v>686</v>
      </c>
      <c r="AE189" s="83" t="str">
        <f>HYPERLINK("https://twitter.com/zciwogor/status/1685707206535356417")</f>
        <v>https://twitter.com/zciwogor/status/1685707206535356417</v>
      </c>
      <c r="AF189" s="79">
        <v>45137.73716435185</v>
      </c>
      <c r="AG189" s="85">
        <v>45137</v>
      </c>
      <c r="AH189" s="81" t="s">
        <v>825</v>
      </c>
      <c r="AI189" s="77"/>
      <c r="AJ189" s="77" t="s">
        <v>846</v>
      </c>
      <c r="AK189" s="77" t="s">
        <v>849</v>
      </c>
      <c r="AL189" s="77" t="s">
        <v>850</v>
      </c>
      <c r="AM189" s="77" t="s">
        <v>870</v>
      </c>
      <c r="AN189" s="77" t="s">
        <v>892</v>
      </c>
      <c r="AO189" s="77" t="s">
        <v>914</v>
      </c>
      <c r="AP189" s="77" t="s">
        <v>917</v>
      </c>
      <c r="AQ189" s="77"/>
      <c r="AR189" s="77"/>
      <c r="AS189" s="77"/>
      <c r="AT189" s="77"/>
      <c r="AU189" s="77"/>
      <c r="AV189" s="83" t="str">
        <f>HYPERLINK("https://pbs.twimg.com/profile_images/1681786098190815232/zk_d_1f6_normal.jpg")</f>
        <v>https://pbs.twimg.com/profile_images/1681786098190815232/zk_d_1f6_normal.jpg</v>
      </c>
      <c r="AW189" s="81" t="s">
        <v>1079</v>
      </c>
      <c r="AX189" s="81" t="s">
        <v>1144</v>
      </c>
      <c r="AY189" s="81" t="s">
        <v>1206</v>
      </c>
      <c r="AZ189" s="81" t="s">
        <v>1234</v>
      </c>
      <c r="BA189" s="81" t="s">
        <v>1210</v>
      </c>
      <c r="BB189" s="81" t="s">
        <v>1210</v>
      </c>
      <c r="BC189" s="81" t="s">
        <v>1234</v>
      </c>
      <c r="BD189" s="77">
        <v>139196645</v>
      </c>
      <c r="BE189" s="77"/>
      <c r="BF189" s="77"/>
      <c r="BG189" s="77"/>
      <c r="BH189" s="77"/>
      <c r="BI189" s="77"/>
      <c r="BJ189">
        <v>1</v>
      </c>
      <c r="BK189" s="76" t="str">
        <f>REPLACE(INDEX(GroupVertices[Group],MATCH("~"&amp;Edges[[#This Row],[Vertex 1]],GroupVertices[Vertex],0)),1,1,"")</f>
        <v>8</v>
      </c>
      <c r="BL189" s="76" t="str">
        <f>REPLACE(INDEX(GroupVertices[Group],MATCH("~"&amp;Edges[[#This Row],[Vertex 2]],GroupVertices[Vertex],0)),1,1,"")</f>
        <v>8</v>
      </c>
      <c r="BM189" s="45">
        <v>1</v>
      </c>
      <c r="BN189" s="46">
        <v>4</v>
      </c>
      <c r="BO189" s="45">
        <v>1</v>
      </c>
      <c r="BP189" s="46">
        <v>4</v>
      </c>
      <c r="BQ189" s="45">
        <v>0</v>
      </c>
      <c r="BR189" s="46">
        <v>0</v>
      </c>
      <c r="BS189" s="45">
        <v>14</v>
      </c>
      <c r="BT189" s="46">
        <v>56</v>
      </c>
      <c r="BU189" s="45">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9"/>
    <dataValidation allowBlank="1" showErrorMessage="1" sqref="N2:N1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9"/>
    <dataValidation allowBlank="1" showInputMessage="1" promptTitle="Edge Color" prompt="To select an optional edge color, right-click and select Select Color on the right-click menu." sqref="C3:C189"/>
    <dataValidation allowBlank="1" showInputMessage="1" promptTitle="Edge Width" prompt="Enter an optional edge width between 1 and 10." errorTitle="Invalid Edge Width" error="The optional edge width must be a whole number between 1 and 10." sqref="D3:D189"/>
    <dataValidation allowBlank="1" showInputMessage="1" promptTitle="Edge Opacity" prompt="Enter an optional edge opacity between 0 (transparent) and 100 (opaque)." errorTitle="Invalid Edge Opacity" error="The optional edge opacity must be a whole number between 0 and 10." sqref="F3:F1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9">
      <formula1>ValidEdgeVisibilities</formula1>
    </dataValidation>
    <dataValidation allowBlank="1" showInputMessage="1" showErrorMessage="1" promptTitle="Vertex 1 Name" prompt="Enter the name of the edge's first vertex." sqref="A3:A189"/>
    <dataValidation allowBlank="1" showInputMessage="1" showErrorMessage="1" promptTitle="Vertex 2 Name" prompt="Enter the name of the edge's second vertex." sqref="B3:B189"/>
    <dataValidation allowBlank="1" showInputMessage="1" showErrorMessage="1" promptTitle="Edge Label" prompt="Enter an optional edge label." errorTitle="Invalid Edge Visibility" error="You have entered an unrecognized edge visibility.  Try selecting from the drop-down list instead." sqref="H3:H1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FCBE9-5E23-4A2C-8F65-70EFCD3AC11D}">
  <dimension ref="A1:C23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2823</v>
      </c>
      <c r="B1" s="7" t="s">
        <v>2429</v>
      </c>
      <c r="C1" s="7" t="s">
        <v>210</v>
      </c>
    </row>
    <row r="2" spans="1:3" ht="15">
      <c r="A2" s="76" t="s">
        <v>236</v>
      </c>
      <c r="B2" s="76" t="s">
        <v>2824</v>
      </c>
      <c r="C2" s="80" t="s">
        <v>954</v>
      </c>
    </row>
    <row r="3" spans="1:3" ht="15">
      <c r="A3" s="77" t="s">
        <v>236</v>
      </c>
      <c r="B3" s="76" t="s">
        <v>2825</v>
      </c>
      <c r="C3" s="80" t="s">
        <v>954</v>
      </c>
    </row>
    <row r="4" spans="1:3" ht="15">
      <c r="A4" s="77" t="s">
        <v>236</v>
      </c>
      <c r="B4" s="76" t="s">
        <v>2507</v>
      </c>
      <c r="C4" s="80" t="s">
        <v>954</v>
      </c>
    </row>
    <row r="5" spans="1:3" ht="15">
      <c r="A5" s="77" t="s">
        <v>236</v>
      </c>
      <c r="B5" s="76" t="s">
        <v>2438</v>
      </c>
      <c r="C5" s="80" t="s">
        <v>954</v>
      </c>
    </row>
    <row r="6" spans="1:3" ht="15">
      <c r="A6" s="77" t="s">
        <v>236</v>
      </c>
      <c r="B6" s="76" t="s">
        <v>2447</v>
      </c>
      <c r="C6" s="80" t="s">
        <v>954</v>
      </c>
    </row>
    <row r="7" spans="1:3" ht="15">
      <c r="A7" s="77" t="s">
        <v>236</v>
      </c>
      <c r="B7" s="76" t="s">
        <v>2826</v>
      </c>
      <c r="C7" s="80" t="s">
        <v>954</v>
      </c>
    </row>
    <row r="8" spans="1:3" ht="15">
      <c r="A8" s="77" t="s">
        <v>236</v>
      </c>
      <c r="B8" s="76" t="s">
        <v>2767</v>
      </c>
      <c r="C8" s="80" t="s">
        <v>954</v>
      </c>
    </row>
    <row r="9" spans="1:3" ht="15">
      <c r="A9" s="77" t="s">
        <v>236</v>
      </c>
      <c r="B9" s="76" t="s">
        <v>2458</v>
      </c>
      <c r="C9" s="80" t="s">
        <v>954</v>
      </c>
    </row>
    <row r="10" spans="1:3" ht="15">
      <c r="A10" s="77" t="s">
        <v>236</v>
      </c>
      <c r="B10" s="76" t="s">
        <v>2763</v>
      </c>
      <c r="C10" s="80" t="s">
        <v>954</v>
      </c>
    </row>
    <row r="11" spans="1:3" ht="15">
      <c r="A11" s="77" t="s">
        <v>236</v>
      </c>
      <c r="B11" s="76" t="s">
        <v>2827</v>
      </c>
      <c r="C11" s="80" t="s">
        <v>954</v>
      </c>
    </row>
    <row r="12" spans="1:3" ht="15">
      <c r="A12" s="77" t="s">
        <v>236</v>
      </c>
      <c r="B12" s="76" t="s">
        <v>2828</v>
      </c>
      <c r="C12" s="80" t="s">
        <v>954</v>
      </c>
    </row>
    <row r="13" spans="1:3" ht="15">
      <c r="A13" s="77" t="s">
        <v>236</v>
      </c>
      <c r="B13" s="76" t="s">
        <v>2829</v>
      </c>
      <c r="C13" s="80" t="s">
        <v>954</v>
      </c>
    </row>
    <row r="14" spans="1:3" ht="15">
      <c r="A14" s="77" t="s">
        <v>236</v>
      </c>
      <c r="B14" s="76" t="s">
        <v>2695</v>
      </c>
      <c r="C14" s="80" t="s">
        <v>954</v>
      </c>
    </row>
    <row r="15" spans="1:3" ht="15">
      <c r="A15" s="77" t="s">
        <v>236</v>
      </c>
      <c r="B15" s="76" t="s">
        <v>2830</v>
      </c>
      <c r="C15" s="80" t="s">
        <v>954</v>
      </c>
    </row>
    <row r="16" spans="1:3" ht="15">
      <c r="A16" s="77" t="s">
        <v>236</v>
      </c>
      <c r="B16" s="76" t="s">
        <v>2831</v>
      </c>
      <c r="C16" s="80" t="s">
        <v>954</v>
      </c>
    </row>
    <row r="17" spans="1:3" ht="15">
      <c r="A17" s="77" t="s">
        <v>236</v>
      </c>
      <c r="B17" s="76" t="s">
        <v>2442</v>
      </c>
      <c r="C17" s="80" t="s">
        <v>954</v>
      </c>
    </row>
    <row r="18" spans="1:3" ht="15">
      <c r="A18" s="77" t="s">
        <v>236</v>
      </c>
      <c r="B18" s="76" t="s">
        <v>2832</v>
      </c>
      <c r="C18" s="80" t="s">
        <v>954</v>
      </c>
    </row>
    <row r="19" spans="1:3" ht="15">
      <c r="A19" s="77" t="s">
        <v>236</v>
      </c>
      <c r="B19" s="76" t="s">
        <v>2833</v>
      </c>
      <c r="C19" s="80" t="s">
        <v>954</v>
      </c>
    </row>
    <row r="20" spans="1:3" ht="15">
      <c r="A20" s="77" t="s">
        <v>236</v>
      </c>
      <c r="B20" s="76" t="s">
        <v>354</v>
      </c>
      <c r="C20" s="80" t="s">
        <v>954</v>
      </c>
    </row>
    <row r="21" spans="1:3" ht="15">
      <c r="A21" s="77" t="s">
        <v>326</v>
      </c>
      <c r="B21" s="76" t="s">
        <v>2550</v>
      </c>
      <c r="C21" s="80" t="s">
        <v>1065</v>
      </c>
    </row>
    <row r="22" spans="1:3" ht="15">
      <c r="A22" s="77" t="s">
        <v>326</v>
      </c>
      <c r="B22" s="76" t="s">
        <v>2565</v>
      </c>
      <c r="C22" s="80" t="s">
        <v>1065</v>
      </c>
    </row>
    <row r="23" spans="1:3" ht="15">
      <c r="A23" s="77" t="s">
        <v>326</v>
      </c>
      <c r="B23" s="76" t="s">
        <v>2539</v>
      </c>
      <c r="C23" s="80" t="s">
        <v>1065</v>
      </c>
    </row>
    <row r="24" spans="1:3" ht="15">
      <c r="A24" s="77" t="s">
        <v>326</v>
      </c>
      <c r="B24" s="76" t="s">
        <v>2512</v>
      </c>
      <c r="C24" s="80" t="s">
        <v>1065</v>
      </c>
    </row>
    <row r="25" spans="1:3" ht="15">
      <c r="A25" s="77" t="s">
        <v>326</v>
      </c>
      <c r="B25" s="76" t="s">
        <v>2450</v>
      </c>
      <c r="C25" s="80" t="s">
        <v>1065</v>
      </c>
    </row>
    <row r="26" spans="1:3" ht="15">
      <c r="A26" s="77" t="s">
        <v>326</v>
      </c>
      <c r="B26" s="76" t="s">
        <v>2482</v>
      </c>
      <c r="C26" s="80" t="s">
        <v>1065</v>
      </c>
    </row>
    <row r="27" spans="1:3" ht="15">
      <c r="A27" s="77" t="s">
        <v>326</v>
      </c>
      <c r="B27" s="76" t="s">
        <v>2493</v>
      </c>
      <c r="C27" s="80" t="s">
        <v>1065</v>
      </c>
    </row>
    <row r="28" spans="1:3" ht="15">
      <c r="A28" s="77" t="s">
        <v>326</v>
      </c>
      <c r="B28" s="76" t="s">
        <v>2532</v>
      </c>
      <c r="C28" s="80" t="s">
        <v>1065</v>
      </c>
    </row>
    <row r="29" spans="1:3" ht="15">
      <c r="A29" s="77" t="s">
        <v>326</v>
      </c>
      <c r="B29" s="76" t="s">
        <v>2541</v>
      </c>
      <c r="C29" s="80" t="s">
        <v>1065</v>
      </c>
    </row>
    <row r="30" spans="1:3" ht="15">
      <c r="A30" s="77" t="s">
        <v>326</v>
      </c>
      <c r="B30" s="76" t="s">
        <v>2578</v>
      </c>
      <c r="C30" s="80" t="s">
        <v>1065</v>
      </c>
    </row>
    <row r="31" spans="1:3" ht="15">
      <c r="A31" s="77" t="s">
        <v>326</v>
      </c>
      <c r="B31" s="76" t="s">
        <v>2593</v>
      </c>
      <c r="C31" s="80" t="s">
        <v>1065</v>
      </c>
    </row>
    <row r="32" spans="1:3" ht="15">
      <c r="A32" s="77" t="s">
        <v>326</v>
      </c>
      <c r="B32" s="76" t="s">
        <v>2508</v>
      </c>
      <c r="C32" s="80" t="s">
        <v>1065</v>
      </c>
    </row>
    <row r="33" spans="1:3" ht="15">
      <c r="A33" s="77" t="s">
        <v>326</v>
      </c>
      <c r="B33" s="76" t="s">
        <v>2547</v>
      </c>
      <c r="C33" s="80" t="s">
        <v>1065</v>
      </c>
    </row>
    <row r="34" spans="1:3" ht="15">
      <c r="A34" s="77" t="s">
        <v>326</v>
      </c>
      <c r="B34" s="76" t="s">
        <v>2438</v>
      </c>
      <c r="C34" s="80" t="s">
        <v>1065</v>
      </c>
    </row>
    <row r="35" spans="1:3" ht="15">
      <c r="A35" s="77" t="s">
        <v>326</v>
      </c>
      <c r="B35" s="76" t="s">
        <v>2516</v>
      </c>
      <c r="C35" s="80" t="s">
        <v>1065</v>
      </c>
    </row>
    <row r="36" spans="1:3" ht="15">
      <c r="A36" s="77" t="s">
        <v>326</v>
      </c>
      <c r="B36" s="76" t="s">
        <v>2563</v>
      </c>
      <c r="C36" s="80" t="s">
        <v>1065</v>
      </c>
    </row>
    <row r="37" spans="1:3" ht="15">
      <c r="A37" s="77" t="s">
        <v>230</v>
      </c>
      <c r="B37" s="76" t="s">
        <v>2834</v>
      </c>
      <c r="C37" s="80" t="s">
        <v>948</v>
      </c>
    </row>
    <row r="38" spans="1:3" ht="15">
      <c r="A38" s="77" t="s">
        <v>230</v>
      </c>
      <c r="B38" s="76" t="s">
        <v>2561</v>
      </c>
      <c r="C38" s="80" t="s">
        <v>948</v>
      </c>
    </row>
    <row r="39" spans="1:3" ht="15">
      <c r="A39" s="77" t="s">
        <v>230</v>
      </c>
      <c r="B39" s="76" t="s">
        <v>2835</v>
      </c>
      <c r="C39" s="80" t="s">
        <v>948</v>
      </c>
    </row>
    <row r="40" spans="1:3" ht="15">
      <c r="A40" s="77" t="s">
        <v>230</v>
      </c>
      <c r="B40" s="76" t="s">
        <v>2836</v>
      </c>
      <c r="C40" s="80" t="s">
        <v>948</v>
      </c>
    </row>
    <row r="41" spans="1:3" ht="15">
      <c r="A41" s="77" t="s">
        <v>230</v>
      </c>
      <c r="B41" s="76" t="s">
        <v>2529</v>
      </c>
      <c r="C41" s="80" t="s">
        <v>948</v>
      </c>
    </row>
    <row r="42" spans="1:3" ht="15">
      <c r="A42" s="77" t="s">
        <v>230</v>
      </c>
      <c r="B42" s="76" t="s">
        <v>2514</v>
      </c>
      <c r="C42" s="80" t="s">
        <v>948</v>
      </c>
    </row>
    <row r="43" spans="1:3" ht="15">
      <c r="A43" s="77" t="s">
        <v>230</v>
      </c>
      <c r="B43" s="76" t="s">
        <v>2438</v>
      </c>
      <c r="C43" s="80" t="s">
        <v>948</v>
      </c>
    </row>
    <row r="44" spans="1:3" ht="15">
      <c r="A44" s="77" t="s">
        <v>230</v>
      </c>
      <c r="B44" s="76" t="s">
        <v>2545</v>
      </c>
      <c r="C44" s="80" t="s">
        <v>948</v>
      </c>
    </row>
    <row r="45" spans="1:3" ht="15">
      <c r="A45" s="77" t="s">
        <v>230</v>
      </c>
      <c r="B45" s="76" t="s">
        <v>2676</v>
      </c>
      <c r="C45" s="80" t="s">
        <v>948</v>
      </c>
    </row>
    <row r="46" spans="1:3" ht="15">
      <c r="A46" s="77" t="s">
        <v>230</v>
      </c>
      <c r="B46" s="76" t="s">
        <v>2439</v>
      </c>
      <c r="C46" s="80" t="s">
        <v>948</v>
      </c>
    </row>
    <row r="47" spans="1:3" ht="15">
      <c r="A47" s="77" t="s">
        <v>230</v>
      </c>
      <c r="B47" s="76" t="s">
        <v>2440</v>
      </c>
      <c r="C47" s="80" t="s">
        <v>948</v>
      </c>
    </row>
    <row r="48" spans="1:3" ht="15">
      <c r="A48" s="77" t="s">
        <v>230</v>
      </c>
      <c r="B48" s="76" t="s">
        <v>2837</v>
      </c>
      <c r="C48" s="80" t="s">
        <v>948</v>
      </c>
    </row>
    <row r="49" spans="1:3" ht="15">
      <c r="A49" s="77" t="s">
        <v>230</v>
      </c>
      <c r="B49" s="76" t="s">
        <v>2465</v>
      </c>
      <c r="C49" s="80" t="s">
        <v>948</v>
      </c>
    </row>
    <row r="50" spans="1:3" ht="15">
      <c r="A50" s="77" t="s">
        <v>230</v>
      </c>
      <c r="B50" s="76" t="s">
        <v>917</v>
      </c>
      <c r="C50" s="80" t="s">
        <v>948</v>
      </c>
    </row>
    <row r="51" spans="1:3" ht="15">
      <c r="A51" s="77" t="s">
        <v>230</v>
      </c>
      <c r="B51" s="76" t="s">
        <v>2450</v>
      </c>
      <c r="C51" s="80" t="s">
        <v>948</v>
      </c>
    </row>
    <row r="52" spans="1:3" ht="15">
      <c r="A52" s="77" t="s">
        <v>292</v>
      </c>
      <c r="B52" s="76" t="s">
        <v>2838</v>
      </c>
      <c r="C52" s="80" t="s">
        <v>1017</v>
      </c>
    </row>
    <row r="53" spans="1:3" ht="15">
      <c r="A53" s="77" t="s">
        <v>292</v>
      </c>
      <c r="B53" s="76" t="s">
        <v>2648</v>
      </c>
      <c r="C53" s="80" t="s">
        <v>1017</v>
      </c>
    </row>
    <row r="54" spans="1:3" ht="15">
      <c r="A54" s="77" t="s">
        <v>292</v>
      </c>
      <c r="B54" s="76" t="s">
        <v>2839</v>
      </c>
      <c r="C54" s="80" t="s">
        <v>1017</v>
      </c>
    </row>
    <row r="55" spans="1:3" ht="15">
      <c r="A55" s="77" t="s">
        <v>292</v>
      </c>
      <c r="B55" s="76" t="s">
        <v>2840</v>
      </c>
      <c r="C55" s="80" t="s">
        <v>1017</v>
      </c>
    </row>
    <row r="56" spans="1:3" ht="15">
      <c r="A56" s="77" t="s">
        <v>292</v>
      </c>
      <c r="B56" s="76" t="s">
        <v>2841</v>
      </c>
      <c r="C56" s="80" t="s">
        <v>1017</v>
      </c>
    </row>
    <row r="57" spans="1:3" ht="15">
      <c r="A57" s="77" t="s">
        <v>292</v>
      </c>
      <c r="B57" s="76" t="s">
        <v>2842</v>
      </c>
      <c r="C57" s="80" t="s">
        <v>1017</v>
      </c>
    </row>
    <row r="58" spans="1:3" ht="15">
      <c r="A58" s="77" t="s">
        <v>292</v>
      </c>
      <c r="B58" s="76" t="s">
        <v>2843</v>
      </c>
      <c r="C58" s="80" t="s">
        <v>1017</v>
      </c>
    </row>
    <row r="59" spans="1:3" ht="15">
      <c r="A59" s="77" t="s">
        <v>296</v>
      </c>
      <c r="B59" s="76" t="s">
        <v>2844</v>
      </c>
      <c r="C59" s="80" t="s">
        <v>1021</v>
      </c>
    </row>
    <row r="60" spans="1:3" ht="15">
      <c r="A60" s="77" t="s">
        <v>296</v>
      </c>
      <c r="B60" s="76" t="s">
        <v>2662</v>
      </c>
      <c r="C60" s="80" t="s">
        <v>1021</v>
      </c>
    </row>
    <row r="61" spans="1:3" ht="15">
      <c r="A61" s="77" t="s">
        <v>296</v>
      </c>
      <c r="B61" s="76" t="s">
        <v>2845</v>
      </c>
      <c r="C61" s="80" t="s">
        <v>1021</v>
      </c>
    </row>
    <row r="62" spans="1:3" ht="15">
      <c r="A62" s="77" t="s">
        <v>296</v>
      </c>
      <c r="B62" s="76" t="s">
        <v>2691</v>
      </c>
      <c r="C62" s="80" t="s">
        <v>1021</v>
      </c>
    </row>
    <row r="63" spans="1:3" ht="15">
      <c r="A63" s="77" t="s">
        <v>296</v>
      </c>
      <c r="B63" s="76" t="s">
        <v>2846</v>
      </c>
      <c r="C63" s="80" t="s">
        <v>1021</v>
      </c>
    </row>
    <row r="64" spans="1:3" ht="15">
      <c r="A64" s="77" t="s">
        <v>296</v>
      </c>
      <c r="B64" s="76" t="s">
        <v>2519</v>
      </c>
      <c r="C64" s="80" t="s">
        <v>1021</v>
      </c>
    </row>
    <row r="65" spans="1:3" ht="15">
      <c r="A65" s="77" t="s">
        <v>296</v>
      </c>
      <c r="B65" s="76" t="s">
        <v>2847</v>
      </c>
      <c r="C65" s="80" t="s">
        <v>1021</v>
      </c>
    </row>
    <row r="66" spans="1:3" ht="15">
      <c r="A66" s="77" t="s">
        <v>296</v>
      </c>
      <c r="B66" s="76" t="s">
        <v>2540</v>
      </c>
      <c r="C66" s="80" t="s">
        <v>1021</v>
      </c>
    </row>
    <row r="67" spans="1:3" ht="15">
      <c r="A67" s="77" t="s">
        <v>296</v>
      </c>
      <c r="B67" s="76" t="s">
        <v>2438</v>
      </c>
      <c r="C67" s="80" t="s">
        <v>1021</v>
      </c>
    </row>
    <row r="68" spans="1:3" ht="15">
      <c r="A68" s="77" t="s">
        <v>296</v>
      </c>
      <c r="B68" s="76" t="s">
        <v>2479</v>
      </c>
      <c r="C68" s="80" t="s">
        <v>1021</v>
      </c>
    </row>
    <row r="69" spans="1:3" ht="15">
      <c r="A69" s="77" t="s">
        <v>296</v>
      </c>
      <c r="B69" s="76" t="s">
        <v>403</v>
      </c>
      <c r="C69" s="80" t="s">
        <v>1021</v>
      </c>
    </row>
    <row r="70" spans="1:3" ht="15">
      <c r="A70" s="77" t="s">
        <v>281</v>
      </c>
      <c r="B70" s="76" t="s">
        <v>2633</v>
      </c>
      <c r="C70" s="80" t="s">
        <v>1002</v>
      </c>
    </row>
    <row r="71" spans="1:3" ht="15">
      <c r="A71" s="77" t="s">
        <v>281</v>
      </c>
      <c r="B71" s="76" t="s">
        <v>2848</v>
      </c>
      <c r="C71" s="80" t="s">
        <v>1002</v>
      </c>
    </row>
    <row r="72" spans="1:3" ht="15">
      <c r="A72" s="77" t="s">
        <v>281</v>
      </c>
      <c r="B72" s="76" t="s">
        <v>2474</v>
      </c>
      <c r="C72" s="80" t="s">
        <v>1002</v>
      </c>
    </row>
    <row r="73" spans="1:3" ht="15">
      <c r="A73" s="77" t="s">
        <v>281</v>
      </c>
      <c r="B73" s="76" t="s">
        <v>2849</v>
      </c>
      <c r="C73" s="80" t="s">
        <v>1002</v>
      </c>
    </row>
    <row r="74" spans="1:3" ht="15">
      <c r="A74" s="77" t="s">
        <v>281</v>
      </c>
      <c r="B74" s="76">
        <v>93</v>
      </c>
      <c r="C74" s="80" t="s">
        <v>1002</v>
      </c>
    </row>
    <row r="75" spans="1:3" ht="15">
      <c r="A75" s="77" t="s">
        <v>281</v>
      </c>
      <c r="B75" s="76" t="s">
        <v>2850</v>
      </c>
      <c r="C75" s="80" t="s">
        <v>1002</v>
      </c>
    </row>
    <row r="76" spans="1:3" ht="15">
      <c r="A76" s="77" t="s">
        <v>281</v>
      </c>
      <c r="B76" s="76" t="s">
        <v>2470</v>
      </c>
      <c r="C76" s="80" t="s">
        <v>1002</v>
      </c>
    </row>
    <row r="77" spans="1:3" ht="15">
      <c r="A77" s="77" t="s">
        <v>281</v>
      </c>
      <c r="B77" s="76" t="s">
        <v>2438</v>
      </c>
      <c r="C77" s="80" t="s">
        <v>1002</v>
      </c>
    </row>
    <row r="78" spans="1:3" ht="15">
      <c r="A78" s="77" t="s">
        <v>281</v>
      </c>
      <c r="B78" s="76" t="s">
        <v>2439</v>
      </c>
      <c r="C78" s="80" t="s">
        <v>1002</v>
      </c>
    </row>
    <row r="79" spans="1:3" ht="15">
      <c r="A79" s="77" t="s">
        <v>281</v>
      </c>
      <c r="B79" s="76" t="s">
        <v>2562</v>
      </c>
      <c r="C79" s="80" t="s">
        <v>1002</v>
      </c>
    </row>
    <row r="80" spans="1:3" ht="15">
      <c r="A80" s="77" t="s">
        <v>281</v>
      </c>
      <c r="B80" s="76" t="s">
        <v>2536</v>
      </c>
      <c r="C80" s="80" t="s">
        <v>1002</v>
      </c>
    </row>
    <row r="81" spans="1:3" ht="15">
      <c r="A81" s="77" t="s">
        <v>309</v>
      </c>
      <c r="B81" s="76" t="s">
        <v>2755</v>
      </c>
      <c r="C81" s="80" t="s">
        <v>1035</v>
      </c>
    </row>
    <row r="82" spans="1:3" ht="15">
      <c r="A82" s="77" t="s">
        <v>309</v>
      </c>
      <c r="B82" s="76" t="s">
        <v>2851</v>
      </c>
      <c r="C82" s="80" t="s">
        <v>1035</v>
      </c>
    </row>
    <row r="83" spans="1:3" ht="15">
      <c r="A83" s="77" t="s">
        <v>309</v>
      </c>
      <c r="B83" s="76" t="s">
        <v>2485</v>
      </c>
      <c r="C83" s="80" t="s">
        <v>1035</v>
      </c>
    </row>
    <row r="84" spans="1:3" ht="15">
      <c r="A84" s="77" t="s">
        <v>309</v>
      </c>
      <c r="B84" s="76">
        <v>2022</v>
      </c>
      <c r="C84" s="80" t="s">
        <v>1035</v>
      </c>
    </row>
    <row r="85" spans="1:3" ht="15">
      <c r="A85" s="77" t="s">
        <v>309</v>
      </c>
      <c r="B85" s="76" t="s">
        <v>2852</v>
      </c>
      <c r="C85" s="80" t="s">
        <v>1035</v>
      </c>
    </row>
    <row r="86" spans="1:3" ht="15">
      <c r="A86" s="77" t="s">
        <v>309</v>
      </c>
      <c r="B86" s="76" t="s">
        <v>2534</v>
      </c>
      <c r="C86" s="80" t="s">
        <v>1035</v>
      </c>
    </row>
    <row r="87" spans="1:3" ht="15">
      <c r="A87" s="77" t="s">
        <v>309</v>
      </c>
      <c r="B87" s="76" t="s">
        <v>2853</v>
      </c>
      <c r="C87" s="80" t="s">
        <v>1035</v>
      </c>
    </row>
    <row r="88" spans="1:3" ht="15">
      <c r="A88" s="77" t="s">
        <v>309</v>
      </c>
      <c r="B88" s="76" t="s">
        <v>2517</v>
      </c>
      <c r="C88" s="80" t="s">
        <v>1035</v>
      </c>
    </row>
    <row r="89" spans="1:3" ht="15">
      <c r="A89" s="77" t="s">
        <v>309</v>
      </c>
      <c r="B89" s="76" t="s">
        <v>2467</v>
      </c>
      <c r="C89" s="80" t="s">
        <v>1035</v>
      </c>
    </row>
    <row r="90" spans="1:3" ht="15">
      <c r="A90" s="77" t="s">
        <v>309</v>
      </c>
      <c r="B90" s="76" t="s">
        <v>2438</v>
      </c>
      <c r="C90" s="80" t="s">
        <v>1035</v>
      </c>
    </row>
    <row r="91" spans="1:3" ht="15">
      <c r="A91" s="77" t="s">
        <v>309</v>
      </c>
      <c r="B91" s="76">
        <v>2021</v>
      </c>
      <c r="C91" s="80" t="s">
        <v>1035</v>
      </c>
    </row>
    <row r="92" spans="1:3" ht="15">
      <c r="A92" s="77" t="s">
        <v>309</v>
      </c>
      <c r="B92" s="76" t="s">
        <v>2854</v>
      </c>
      <c r="C92" s="80" t="s">
        <v>1035</v>
      </c>
    </row>
    <row r="93" spans="1:3" ht="15">
      <c r="A93" s="77" t="s">
        <v>309</v>
      </c>
      <c r="B93" s="76" t="s">
        <v>2773</v>
      </c>
      <c r="C93" s="80" t="s">
        <v>1035</v>
      </c>
    </row>
    <row r="94" spans="1:3" ht="15">
      <c r="A94" s="77" t="s">
        <v>309</v>
      </c>
      <c r="B94" s="76" t="s">
        <v>2855</v>
      </c>
      <c r="C94" s="80" t="s">
        <v>1035</v>
      </c>
    </row>
    <row r="95" spans="1:3" ht="15">
      <c r="A95" s="77" t="s">
        <v>309</v>
      </c>
      <c r="B95" s="76" t="s">
        <v>2856</v>
      </c>
      <c r="C95" s="80" t="s">
        <v>1035</v>
      </c>
    </row>
    <row r="96" spans="1:3" ht="15">
      <c r="A96" s="77" t="s">
        <v>309</v>
      </c>
      <c r="B96" s="76" t="s">
        <v>2857</v>
      </c>
      <c r="C96" s="80" t="s">
        <v>1035</v>
      </c>
    </row>
    <row r="97" spans="1:3" ht="15">
      <c r="A97" s="77" t="s">
        <v>309</v>
      </c>
      <c r="B97" s="76" t="s">
        <v>2858</v>
      </c>
      <c r="C97" s="80" t="s">
        <v>1035</v>
      </c>
    </row>
    <row r="98" spans="1:3" ht="15">
      <c r="A98" s="77" t="s">
        <v>268</v>
      </c>
      <c r="B98" s="76" t="s">
        <v>2859</v>
      </c>
      <c r="C98" s="80" t="s">
        <v>989</v>
      </c>
    </row>
    <row r="99" spans="1:3" ht="15">
      <c r="A99" s="77" t="s">
        <v>268</v>
      </c>
      <c r="B99" s="76" t="s">
        <v>2860</v>
      </c>
      <c r="C99" s="80" t="s">
        <v>989</v>
      </c>
    </row>
    <row r="100" spans="1:3" ht="15">
      <c r="A100" s="77" t="s">
        <v>268</v>
      </c>
      <c r="B100" s="76" t="s">
        <v>2448</v>
      </c>
      <c r="C100" s="80" t="s">
        <v>989</v>
      </c>
    </row>
    <row r="101" spans="1:3" ht="15">
      <c r="A101" s="77" t="s">
        <v>268</v>
      </c>
      <c r="B101" s="76" t="s">
        <v>2861</v>
      </c>
      <c r="C101" s="80" t="s">
        <v>989</v>
      </c>
    </row>
    <row r="102" spans="1:3" ht="15">
      <c r="A102" s="77" t="s">
        <v>268</v>
      </c>
      <c r="B102" s="76" t="s">
        <v>2862</v>
      </c>
      <c r="C102" s="80" t="s">
        <v>989</v>
      </c>
    </row>
    <row r="103" spans="1:3" ht="15">
      <c r="A103" s="77" t="s">
        <v>268</v>
      </c>
      <c r="B103" s="76" t="s">
        <v>2863</v>
      </c>
      <c r="C103" s="80" t="s">
        <v>989</v>
      </c>
    </row>
    <row r="104" spans="1:3" ht="15">
      <c r="A104" s="77" t="s">
        <v>268</v>
      </c>
      <c r="B104" s="76" t="s">
        <v>379</v>
      </c>
      <c r="C104" s="80" t="s">
        <v>989</v>
      </c>
    </row>
    <row r="105" spans="1:3" ht="15">
      <c r="A105" s="77" t="s">
        <v>268</v>
      </c>
      <c r="B105" s="76" t="s">
        <v>2864</v>
      </c>
      <c r="C105" s="80" t="s">
        <v>989</v>
      </c>
    </row>
    <row r="106" spans="1:3" ht="15">
      <c r="A106" s="77" t="s">
        <v>268</v>
      </c>
      <c r="B106" s="76" t="s">
        <v>2865</v>
      </c>
      <c r="C106" s="80" t="s">
        <v>989</v>
      </c>
    </row>
    <row r="107" spans="1:3" ht="15">
      <c r="A107" s="77" t="s">
        <v>268</v>
      </c>
      <c r="B107" s="76" t="s">
        <v>2485</v>
      </c>
      <c r="C107" s="80" t="s">
        <v>989</v>
      </c>
    </row>
    <row r="108" spans="1:3" ht="15">
      <c r="A108" s="77" t="s">
        <v>268</v>
      </c>
      <c r="B108" s="76" t="s">
        <v>2866</v>
      </c>
      <c r="C108" s="80" t="s">
        <v>989</v>
      </c>
    </row>
    <row r="109" spans="1:3" ht="15">
      <c r="A109" s="77" t="s">
        <v>268</v>
      </c>
      <c r="B109" s="76" t="s">
        <v>2867</v>
      </c>
      <c r="C109" s="80" t="s">
        <v>989</v>
      </c>
    </row>
    <row r="110" spans="1:3" ht="15">
      <c r="A110" s="77" t="s">
        <v>268</v>
      </c>
      <c r="B110" s="76" t="s">
        <v>2868</v>
      </c>
      <c r="C110" s="80" t="s">
        <v>989</v>
      </c>
    </row>
    <row r="111" spans="1:3" ht="15">
      <c r="A111" s="77" t="s">
        <v>268</v>
      </c>
      <c r="B111" s="76" t="s">
        <v>2538</v>
      </c>
      <c r="C111" s="80" t="s">
        <v>989</v>
      </c>
    </row>
    <row r="112" spans="1:3" ht="15">
      <c r="A112" s="77" t="s">
        <v>268</v>
      </c>
      <c r="B112" s="76" t="s">
        <v>2609</v>
      </c>
      <c r="C112" s="80" t="s">
        <v>989</v>
      </c>
    </row>
    <row r="113" spans="1:3" ht="15">
      <c r="A113" s="77" t="s">
        <v>268</v>
      </c>
      <c r="B113" s="76" t="s">
        <v>2524</v>
      </c>
      <c r="C113" s="80" t="s">
        <v>989</v>
      </c>
    </row>
    <row r="114" spans="1:3" ht="15">
      <c r="A114" s="77" t="s">
        <v>268</v>
      </c>
      <c r="B114" s="76" t="s">
        <v>2531</v>
      </c>
      <c r="C114" s="80" t="s">
        <v>989</v>
      </c>
    </row>
    <row r="115" spans="1:3" ht="15">
      <c r="A115" s="77" t="s">
        <v>302</v>
      </c>
      <c r="B115" s="76" t="s">
        <v>2438</v>
      </c>
      <c r="C115" s="80" t="s">
        <v>1027</v>
      </c>
    </row>
    <row r="116" spans="1:3" ht="15">
      <c r="A116" s="77" t="s">
        <v>302</v>
      </c>
      <c r="B116" s="76" t="s">
        <v>2495</v>
      </c>
      <c r="C116" s="80" t="s">
        <v>1027</v>
      </c>
    </row>
    <row r="117" spans="1:3" ht="15">
      <c r="A117" s="77" t="s">
        <v>302</v>
      </c>
      <c r="B117" s="76" t="s">
        <v>2447</v>
      </c>
      <c r="C117" s="80" t="s">
        <v>1027</v>
      </c>
    </row>
    <row r="118" spans="1:3" ht="15">
      <c r="A118" s="77" t="s">
        <v>302</v>
      </c>
      <c r="B118" s="76" t="s">
        <v>2869</v>
      </c>
      <c r="C118" s="80" t="s">
        <v>1027</v>
      </c>
    </row>
    <row r="119" spans="1:3" ht="15">
      <c r="A119" s="77" t="s">
        <v>302</v>
      </c>
      <c r="B119" s="76" t="s">
        <v>2870</v>
      </c>
      <c r="C119" s="80" t="s">
        <v>1027</v>
      </c>
    </row>
    <row r="120" spans="1:3" ht="15">
      <c r="A120" s="77" t="s">
        <v>302</v>
      </c>
      <c r="B120" s="76" t="s">
        <v>2467</v>
      </c>
      <c r="C120" s="80" t="s">
        <v>1027</v>
      </c>
    </row>
    <row r="121" spans="1:3" ht="15">
      <c r="A121" s="77" t="s">
        <v>302</v>
      </c>
      <c r="B121" s="76">
        <v>20</v>
      </c>
      <c r="C121" s="80" t="s">
        <v>1027</v>
      </c>
    </row>
    <row r="122" spans="1:3" ht="15">
      <c r="A122" s="77" t="s">
        <v>302</v>
      </c>
      <c r="B122" s="76" t="s">
        <v>2526</v>
      </c>
      <c r="C122" s="80" t="s">
        <v>1027</v>
      </c>
    </row>
    <row r="123" spans="1:3" ht="15">
      <c r="A123" s="77" t="s">
        <v>302</v>
      </c>
      <c r="B123" s="76" t="s">
        <v>2871</v>
      </c>
      <c r="C123" s="80" t="s">
        <v>1027</v>
      </c>
    </row>
    <row r="124" spans="1:3" ht="15">
      <c r="A124" s="77" t="s">
        <v>302</v>
      </c>
      <c r="B124" s="76" t="s">
        <v>2872</v>
      </c>
      <c r="C124" s="80" t="s">
        <v>1027</v>
      </c>
    </row>
    <row r="125" spans="1:3" ht="15">
      <c r="A125" s="77" t="s">
        <v>302</v>
      </c>
      <c r="B125" s="76" t="s">
        <v>2873</v>
      </c>
      <c r="C125" s="80" t="s">
        <v>1027</v>
      </c>
    </row>
    <row r="126" spans="1:3" ht="15">
      <c r="A126" s="77" t="s">
        <v>302</v>
      </c>
      <c r="B126" s="76" t="s">
        <v>2874</v>
      </c>
      <c r="C126" s="80" t="s">
        <v>1027</v>
      </c>
    </row>
    <row r="127" spans="1:3" ht="15">
      <c r="A127" s="77" t="s">
        <v>302</v>
      </c>
      <c r="B127" s="76" t="s">
        <v>2612</v>
      </c>
      <c r="C127" s="80" t="s">
        <v>1027</v>
      </c>
    </row>
    <row r="128" spans="1:3" ht="15">
      <c r="A128" s="77" t="s">
        <v>302</v>
      </c>
      <c r="B128" s="76" t="s">
        <v>2637</v>
      </c>
      <c r="C128" s="80" t="s">
        <v>1027</v>
      </c>
    </row>
    <row r="129" spans="1:3" ht="15">
      <c r="A129" s="77" t="s">
        <v>338</v>
      </c>
      <c r="B129" s="76" t="s">
        <v>2551</v>
      </c>
      <c r="C129" s="80" t="s">
        <v>1079</v>
      </c>
    </row>
    <row r="130" spans="1:3" ht="15">
      <c r="A130" s="77" t="s">
        <v>338</v>
      </c>
      <c r="B130" s="76" t="s">
        <v>2696</v>
      </c>
      <c r="C130" s="80" t="s">
        <v>1079</v>
      </c>
    </row>
    <row r="131" spans="1:3" ht="15">
      <c r="A131" s="77" t="s">
        <v>338</v>
      </c>
      <c r="B131" s="76" t="s">
        <v>2438</v>
      </c>
      <c r="C131" s="80" t="s">
        <v>1079</v>
      </c>
    </row>
    <row r="132" spans="1:3" ht="15">
      <c r="A132" s="77" t="s">
        <v>338</v>
      </c>
      <c r="B132" s="76" t="s">
        <v>2447</v>
      </c>
      <c r="C132" s="80" t="s">
        <v>1079</v>
      </c>
    </row>
    <row r="133" spans="1:3" ht="15">
      <c r="A133" s="77" t="s">
        <v>338</v>
      </c>
      <c r="B133" s="76" t="s">
        <v>2449</v>
      </c>
      <c r="C133" s="80" t="s">
        <v>1079</v>
      </c>
    </row>
    <row r="134" spans="1:3" ht="15">
      <c r="A134" s="77" t="s">
        <v>338</v>
      </c>
      <c r="B134" s="76" t="s">
        <v>2875</v>
      </c>
      <c r="C134" s="80" t="s">
        <v>1079</v>
      </c>
    </row>
    <row r="135" spans="1:3" ht="15">
      <c r="A135" s="77" t="s">
        <v>338</v>
      </c>
      <c r="B135" s="76" t="s">
        <v>2790</v>
      </c>
      <c r="C135" s="80" t="s">
        <v>1079</v>
      </c>
    </row>
    <row r="136" spans="1:3" ht="15">
      <c r="A136" s="77" t="s">
        <v>338</v>
      </c>
      <c r="B136" s="76" t="s">
        <v>2652</v>
      </c>
      <c r="C136" s="80" t="s">
        <v>1079</v>
      </c>
    </row>
    <row r="137" spans="1:3" ht="15">
      <c r="A137" s="77" t="s">
        <v>338</v>
      </c>
      <c r="B137" s="76" t="s">
        <v>2876</v>
      </c>
      <c r="C137" s="80" t="s">
        <v>1079</v>
      </c>
    </row>
    <row r="138" spans="1:3" ht="15">
      <c r="A138" s="77" t="s">
        <v>338</v>
      </c>
      <c r="B138" s="76" t="s">
        <v>2442</v>
      </c>
      <c r="C138" s="80" t="s">
        <v>1079</v>
      </c>
    </row>
    <row r="139" spans="1:3" ht="15">
      <c r="A139" s="77" t="s">
        <v>338</v>
      </c>
      <c r="B139" s="76" t="s">
        <v>2877</v>
      </c>
      <c r="C139" s="80" t="s">
        <v>1079</v>
      </c>
    </row>
    <row r="140" spans="1:3" ht="15">
      <c r="A140" s="77" t="s">
        <v>338</v>
      </c>
      <c r="B140" s="76" t="s">
        <v>2464</v>
      </c>
      <c r="C140" s="80" t="s">
        <v>1079</v>
      </c>
    </row>
    <row r="141" spans="1:3" ht="15">
      <c r="A141" s="77" t="s">
        <v>338</v>
      </c>
      <c r="B141" s="76" t="s">
        <v>433</v>
      </c>
      <c r="C141" s="80" t="s">
        <v>1079</v>
      </c>
    </row>
    <row r="142" spans="1:3" ht="15">
      <c r="A142" s="77" t="s">
        <v>338</v>
      </c>
      <c r="B142" s="76" t="s">
        <v>434</v>
      </c>
      <c r="C142" s="80" t="s">
        <v>1079</v>
      </c>
    </row>
    <row r="143" spans="1:3" ht="15">
      <c r="A143" s="77" t="s">
        <v>338</v>
      </c>
      <c r="B143" s="76" t="s">
        <v>435</v>
      </c>
      <c r="C143" s="80" t="s">
        <v>1079</v>
      </c>
    </row>
    <row r="144" spans="1:3" ht="15">
      <c r="A144" s="77" t="s">
        <v>308</v>
      </c>
      <c r="B144" s="76" t="s">
        <v>2492</v>
      </c>
      <c r="C144" s="80" t="s">
        <v>1034</v>
      </c>
    </row>
    <row r="145" spans="1:3" ht="15">
      <c r="A145" s="77" t="s">
        <v>308</v>
      </c>
      <c r="B145" s="76" t="s">
        <v>2464</v>
      </c>
      <c r="C145" s="80" t="s">
        <v>1034</v>
      </c>
    </row>
    <row r="146" spans="1:3" ht="15">
      <c r="A146" s="77" t="s">
        <v>308</v>
      </c>
      <c r="B146" s="76" t="s">
        <v>2510</v>
      </c>
      <c r="C146" s="80" t="s">
        <v>1034</v>
      </c>
    </row>
    <row r="147" spans="1:3" ht="15">
      <c r="A147" s="77" t="s">
        <v>308</v>
      </c>
      <c r="B147" s="76" t="s">
        <v>2458</v>
      </c>
      <c r="C147" s="80" t="s">
        <v>1034</v>
      </c>
    </row>
    <row r="148" spans="1:3" ht="15">
      <c r="A148" s="77" t="s">
        <v>308</v>
      </c>
      <c r="B148" s="76" t="s">
        <v>2878</v>
      </c>
      <c r="C148" s="80" t="s">
        <v>1034</v>
      </c>
    </row>
    <row r="149" spans="1:3" ht="15">
      <c r="A149" s="77" t="s">
        <v>308</v>
      </c>
      <c r="B149" s="76" t="s">
        <v>2446</v>
      </c>
      <c r="C149" s="80" t="s">
        <v>1034</v>
      </c>
    </row>
    <row r="150" spans="1:3" ht="15">
      <c r="A150" s="77" t="s">
        <v>308</v>
      </c>
      <c r="B150" s="76" t="s">
        <v>2879</v>
      </c>
      <c r="C150" s="80" t="s">
        <v>1034</v>
      </c>
    </row>
    <row r="151" spans="1:3" ht="15">
      <c r="A151" s="77" t="s">
        <v>308</v>
      </c>
      <c r="B151" s="76" t="s">
        <v>2597</v>
      </c>
      <c r="C151" s="80" t="s">
        <v>1034</v>
      </c>
    </row>
    <row r="152" spans="1:3" ht="15">
      <c r="A152" s="77" t="s">
        <v>308</v>
      </c>
      <c r="B152" s="76" t="s">
        <v>2511</v>
      </c>
      <c r="C152" s="80" t="s">
        <v>1034</v>
      </c>
    </row>
    <row r="153" spans="1:3" ht="15">
      <c r="A153" s="77" t="s">
        <v>308</v>
      </c>
      <c r="B153" s="76" t="s">
        <v>2880</v>
      </c>
      <c r="C153" s="80" t="s">
        <v>1034</v>
      </c>
    </row>
    <row r="154" spans="1:3" ht="15">
      <c r="A154" s="77" t="s">
        <v>308</v>
      </c>
      <c r="B154" s="76" t="s">
        <v>2881</v>
      </c>
      <c r="C154" s="80" t="s">
        <v>1034</v>
      </c>
    </row>
    <row r="155" spans="1:3" ht="15">
      <c r="A155" s="77" t="s">
        <v>308</v>
      </c>
      <c r="B155" s="76" t="s">
        <v>2438</v>
      </c>
      <c r="C155" s="80" t="s">
        <v>1034</v>
      </c>
    </row>
    <row r="156" spans="1:3" ht="15">
      <c r="A156" s="77" t="s">
        <v>308</v>
      </c>
      <c r="B156" s="76" t="s">
        <v>2447</v>
      </c>
      <c r="C156" s="80" t="s">
        <v>1034</v>
      </c>
    </row>
    <row r="157" spans="1:3" ht="15">
      <c r="A157" s="77" t="s">
        <v>308</v>
      </c>
      <c r="B157" s="76" t="s">
        <v>2882</v>
      </c>
      <c r="C157" s="80" t="s">
        <v>1034</v>
      </c>
    </row>
    <row r="158" spans="1:3" ht="15">
      <c r="A158" s="77" t="s">
        <v>308</v>
      </c>
      <c r="B158" s="76" t="s">
        <v>2603</v>
      </c>
      <c r="C158" s="80" t="s">
        <v>1034</v>
      </c>
    </row>
    <row r="159" spans="1:3" ht="15">
      <c r="A159" s="77" t="s">
        <v>308</v>
      </c>
      <c r="B159" s="76" t="s">
        <v>2509</v>
      </c>
      <c r="C159" s="80" t="s">
        <v>1034</v>
      </c>
    </row>
    <row r="160" spans="1:3" ht="15">
      <c r="A160" s="77" t="s">
        <v>279</v>
      </c>
      <c r="B160" s="76" t="s">
        <v>2780</v>
      </c>
      <c r="C160" s="80" t="s">
        <v>1000</v>
      </c>
    </row>
    <row r="161" spans="1:3" ht="15">
      <c r="A161" s="77" t="s">
        <v>279</v>
      </c>
      <c r="B161" s="76" t="s">
        <v>2883</v>
      </c>
      <c r="C161" s="80" t="s">
        <v>1000</v>
      </c>
    </row>
    <row r="162" spans="1:3" ht="15">
      <c r="A162" s="77" t="s">
        <v>279</v>
      </c>
      <c r="B162" s="76" t="s">
        <v>2523</v>
      </c>
      <c r="C162" s="80" t="s">
        <v>1000</v>
      </c>
    </row>
    <row r="163" spans="1:3" ht="15">
      <c r="A163" s="77" t="s">
        <v>279</v>
      </c>
      <c r="B163" s="76" t="s">
        <v>2884</v>
      </c>
      <c r="C163" s="80" t="s">
        <v>1000</v>
      </c>
    </row>
    <row r="164" spans="1:3" ht="15">
      <c r="A164" s="77" t="s">
        <v>279</v>
      </c>
      <c r="B164" s="76" t="s">
        <v>2638</v>
      </c>
      <c r="C164" s="80" t="s">
        <v>1000</v>
      </c>
    </row>
    <row r="165" spans="1:3" ht="15">
      <c r="A165" s="77" t="s">
        <v>279</v>
      </c>
      <c r="B165" s="76" t="s">
        <v>2516</v>
      </c>
      <c r="C165" s="80" t="s">
        <v>1000</v>
      </c>
    </row>
    <row r="166" spans="1:3" ht="15">
      <c r="A166" s="77" t="s">
        <v>279</v>
      </c>
      <c r="B166" s="76" t="s">
        <v>2787</v>
      </c>
      <c r="C166" s="80" t="s">
        <v>1000</v>
      </c>
    </row>
    <row r="167" spans="1:3" ht="15">
      <c r="A167" s="77" t="s">
        <v>279</v>
      </c>
      <c r="B167" s="76" t="s">
        <v>2438</v>
      </c>
      <c r="C167" s="80" t="s">
        <v>1000</v>
      </c>
    </row>
    <row r="168" spans="1:3" ht="15">
      <c r="A168" s="77" t="s">
        <v>279</v>
      </c>
      <c r="B168" s="76" t="s">
        <v>2439</v>
      </c>
      <c r="C168" s="80" t="s">
        <v>1000</v>
      </c>
    </row>
    <row r="169" spans="1:3" ht="15">
      <c r="A169" s="77" t="s">
        <v>279</v>
      </c>
      <c r="B169" s="76" t="s">
        <v>2693</v>
      </c>
      <c r="C169" s="80" t="s">
        <v>1000</v>
      </c>
    </row>
    <row r="170" spans="1:3" ht="15">
      <c r="A170" s="77" t="s">
        <v>279</v>
      </c>
      <c r="B170" s="76" t="s">
        <v>2679</v>
      </c>
      <c r="C170" s="80" t="s">
        <v>1000</v>
      </c>
    </row>
    <row r="171" spans="1:3" ht="15">
      <c r="A171" s="77" t="s">
        <v>279</v>
      </c>
      <c r="B171" s="76" t="s">
        <v>2885</v>
      </c>
      <c r="C171" s="80" t="s">
        <v>1000</v>
      </c>
    </row>
    <row r="172" spans="1:3" ht="15">
      <c r="A172" s="77" t="s">
        <v>279</v>
      </c>
      <c r="B172" s="76" t="s">
        <v>2886</v>
      </c>
      <c r="C172" s="80" t="s">
        <v>1000</v>
      </c>
    </row>
    <row r="173" spans="1:3" ht="15">
      <c r="A173" s="77" t="s">
        <v>279</v>
      </c>
      <c r="B173" s="76" t="s">
        <v>2649</v>
      </c>
      <c r="C173" s="80" t="s">
        <v>1000</v>
      </c>
    </row>
    <row r="174" spans="1:3" ht="15">
      <c r="A174" s="77" t="s">
        <v>279</v>
      </c>
      <c r="B174" s="76" t="s">
        <v>2887</v>
      </c>
      <c r="C174" s="80" t="s">
        <v>1000</v>
      </c>
    </row>
    <row r="175" spans="1:3" ht="15">
      <c r="A175" s="77" t="s">
        <v>279</v>
      </c>
      <c r="B175" s="76" t="s">
        <v>2469</v>
      </c>
      <c r="C175" s="80" t="s">
        <v>1000</v>
      </c>
    </row>
    <row r="176" spans="1:3" ht="15">
      <c r="A176" s="77" t="s">
        <v>279</v>
      </c>
      <c r="B176" s="76" t="s">
        <v>2888</v>
      </c>
      <c r="C176" s="80" t="s">
        <v>1000</v>
      </c>
    </row>
    <row r="177" spans="1:3" ht="15">
      <c r="A177" s="77" t="s">
        <v>279</v>
      </c>
      <c r="B177" s="76" t="s">
        <v>2754</v>
      </c>
      <c r="C177" s="80" t="s">
        <v>1000</v>
      </c>
    </row>
    <row r="178" spans="1:3" ht="15">
      <c r="A178" s="77" t="s">
        <v>279</v>
      </c>
      <c r="B178" s="76" t="s">
        <v>2889</v>
      </c>
      <c r="C178" s="80" t="s">
        <v>1000</v>
      </c>
    </row>
    <row r="179" spans="1:3" ht="15">
      <c r="A179" s="77" t="s">
        <v>279</v>
      </c>
      <c r="B179" s="76" t="s">
        <v>387</v>
      </c>
      <c r="C179" s="80" t="s">
        <v>1000</v>
      </c>
    </row>
    <row r="180" spans="1:3" ht="15">
      <c r="A180" s="77" t="s">
        <v>250</v>
      </c>
      <c r="B180" s="76" t="s">
        <v>2478</v>
      </c>
      <c r="C180" s="80" t="s">
        <v>971</v>
      </c>
    </row>
    <row r="181" spans="1:3" ht="15">
      <c r="A181" s="77" t="s">
        <v>250</v>
      </c>
      <c r="B181" s="76" t="s">
        <v>2438</v>
      </c>
      <c r="C181" s="80" t="s">
        <v>971</v>
      </c>
    </row>
    <row r="182" spans="1:3" ht="15">
      <c r="A182" s="77" t="s">
        <v>250</v>
      </c>
      <c r="B182" s="76" t="s">
        <v>2452</v>
      </c>
      <c r="C182" s="80" t="s">
        <v>971</v>
      </c>
    </row>
    <row r="183" spans="1:3" ht="15">
      <c r="A183" s="77" t="s">
        <v>250</v>
      </c>
      <c r="B183" s="76" t="s">
        <v>2890</v>
      </c>
      <c r="C183" s="80" t="s">
        <v>971</v>
      </c>
    </row>
    <row r="184" spans="1:3" ht="15">
      <c r="A184" s="77" t="s">
        <v>250</v>
      </c>
      <c r="B184" s="76" t="s">
        <v>2891</v>
      </c>
      <c r="C184" s="80" t="s">
        <v>971</v>
      </c>
    </row>
    <row r="185" spans="1:3" ht="15">
      <c r="A185" s="77" t="s">
        <v>250</v>
      </c>
      <c r="B185" s="76" t="s">
        <v>2892</v>
      </c>
      <c r="C185" s="80" t="s">
        <v>971</v>
      </c>
    </row>
    <row r="186" spans="1:3" ht="15">
      <c r="A186" s="77" t="s">
        <v>250</v>
      </c>
      <c r="B186" s="76" t="s">
        <v>2456</v>
      </c>
      <c r="C186" s="80" t="s">
        <v>971</v>
      </c>
    </row>
    <row r="187" spans="1:3" ht="15">
      <c r="A187" s="77" t="s">
        <v>250</v>
      </c>
      <c r="B187" s="76" t="s">
        <v>365</v>
      </c>
      <c r="C187" s="80" t="s">
        <v>971</v>
      </c>
    </row>
    <row r="188" spans="1:3" ht="15">
      <c r="A188" s="77" t="s">
        <v>250</v>
      </c>
      <c r="B188" s="76" t="s">
        <v>366</v>
      </c>
      <c r="C188" s="80" t="s">
        <v>971</v>
      </c>
    </row>
    <row r="189" spans="1:3" ht="15">
      <c r="A189" s="77" t="s">
        <v>290</v>
      </c>
      <c r="B189" s="76" t="s">
        <v>590</v>
      </c>
      <c r="C189" s="80" t="s">
        <v>1015</v>
      </c>
    </row>
    <row r="190" spans="1:3" ht="15">
      <c r="A190" s="77" t="s">
        <v>290</v>
      </c>
      <c r="B190" s="76" t="s">
        <v>2579</v>
      </c>
      <c r="C190" s="80" t="s">
        <v>1015</v>
      </c>
    </row>
    <row r="191" spans="1:3" ht="15">
      <c r="A191" s="77" t="s">
        <v>290</v>
      </c>
      <c r="B191" s="76" t="s">
        <v>2552</v>
      </c>
      <c r="C191" s="80" t="s">
        <v>1015</v>
      </c>
    </row>
    <row r="192" spans="1:3" ht="15">
      <c r="A192" s="77" t="s">
        <v>290</v>
      </c>
      <c r="B192" s="76" t="s">
        <v>2893</v>
      </c>
      <c r="C192" s="80" t="s">
        <v>1015</v>
      </c>
    </row>
    <row r="193" spans="1:3" ht="15">
      <c r="A193" s="77" t="s">
        <v>290</v>
      </c>
      <c r="B193" s="76" t="s">
        <v>2894</v>
      </c>
      <c r="C193" s="80" t="s">
        <v>1015</v>
      </c>
    </row>
    <row r="194" spans="1:3" ht="15">
      <c r="A194" s="77" t="s">
        <v>290</v>
      </c>
      <c r="B194" s="76" t="s">
        <v>2653</v>
      </c>
      <c r="C194" s="80" t="s">
        <v>1015</v>
      </c>
    </row>
    <row r="195" spans="1:3" ht="15">
      <c r="A195" s="77" t="s">
        <v>290</v>
      </c>
      <c r="B195" s="76" t="s">
        <v>2771</v>
      </c>
      <c r="C195" s="80" t="s">
        <v>1015</v>
      </c>
    </row>
    <row r="196" spans="1:3" ht="15">
      <c r="A196" s="77" t="s">
        <v>290</v>
      </c>
      <c r="B196" s="76" t="s">
        <v>2895</v>
      </c>
      <c r="C196" s="80" t="s">
        <v>1015</v>
      </c>
    </row>
    <row r="197" spans="1:3" ht="15">
      <c r="A197" s="77" t="s">
        <v>290</v>
      </c>
      <c r="B197" s="76" t="s">
        <v>2438</v>
      </c>
      <c r="C197" s="80" t="s">
        <v>1015</v>
      </c>
    </row>
    <row r="198" spans="1:3" ht="15">
      <c r="A198" s="77" t="s">
        <v>290</v>
      </c>
      <c r="B198" s="76" t="s">
        <v>2439</v>
      </c>
      <c r="C198" s="80" t="s">
        <v>1015</v>
      </c>
    </row>
    <row r="199" spans="1:3" ht="15">
      <c r="A199" s="77" t="s">
        <v>290</v>
      </c>
      <c r="B199" s="76" t="s">
        <v>2896</v>
      </c>
      <c r="C199" s="80" t="s">
        <v>1015</v>
      </c>
    </row>
    <row r="200" spans="1:3" ht="15">
      <c r="A200" s="77" t="s">
        <v>290</v>
      </c>
      <c r="B200" s="76" t="s">
        <v>2549</v>
      </c>
      <c r="C200" s="80" t="s">
        <v>1015</v>
      </c>
    </row>
    <row r="201" spans="1:3" ht="15">
      <c r="A201" s="77" t="s">
        <v>290</v>
      </c>
      <c r="B201" s="76">
        <v>1982</v>
      </c>
      <c r="C201" s="80" t="s">
        <v>1015</v>
      </c>
    </row>
    <row r="202" spans="1:3" ht="15">
      <c r="A202" s="77" t="s">
        <v>290</v>
      </c>
      <c r="B202" s="76" t="s">
        <v>2707</v>
      </c>
      <c r="C202" s="80" t="s">
        <v>1015</v>
      </c>
    </row>
    <row r="203" spans="1:3" ht="15">
      <c r="A203" s="77" t="s">
        <v>290</v>
      </c>
      <c r="B203" s="76" t="s">
        <v>2897</v>
      </c>
      <c r="C203" s="80" t="s">
        <v>1015</v>
      </c>
    </row>
    <row r="204" spans="1:3" ht="15">
      <c r="A204" s="77" t="s">
        <v>290</v>
      </c>
      <c r="B204" s="76" t="s">
        <v>2583</v>
      </c>
      <c r="C204" s="80" t="s">
        <v>1015</v>
      </c>
    </row>
    <row r="205" spans="1:3" ht="15">
      <c r="A205" s="77" t="s">
        <v>290</v>
      </c>
      <c r="B205" s="76" t="s">
        <v>2472</v>
      </c>
      <c r="C205" s="80" t="s">
        <v>1015</v>
      </c>
    </row>
    <row r="206" spans="1:3" ht="15">
      <c r="A206" s="77" t="s">
        <v>290</v>
      </c>
      <c r="B206" s="76">
        <v>5000</v>
      </c>
      <c r="C206" s="80" t="s">
        <v>1015</v>
      </c>
    </row>
    <row r="207" spans="1:3" ht="15">
      <c r="A207" s="77" t="s">
        <v>290</v>
      </c>
      <c r="B207" s="76">
        <v>3500</v>
      </c>
      <c r="C207" s="80" t="s">
        <v>1015</v>
      </c>
    </row>
    <row r="208" spans="1:3" ht="15">
      <c r="A208" s="77" t="s">
        <v>224</v>
      </c>
      <c r="B208" s="76" t="s">
        <v>582</v>
      </c>
      <c r="C208" s="80" t="s">
        <v>941</v>
      </c>
    </row>
    <row r="209" spans="1:3" ht="15">
      <c r="A209" s="77" t="s">
        <v>224</v>
      </c>
      <c r="B209" s="76" t="s">
        <v>2775</v>
      </c>
      <c r="C209" s="80" t="s">
        <v>941</v>
      </c>
    </row>
    <row r="210" spans="1:3" ht="15">
      <c r="A210" s="77" t="s">
        <v>224</v>
      </c>
      <c r="B210" s="76" t="s">
        <v>2898</v>
      </c>
      <c r="C210" s="80" t="s">
        <v>941</v>
      </c>
    </row>
    <row r="211" spans="1:3" ht="15">
      <c r="A211" s="77" t="s">
        <v>224</v>
      </c>
      <c r="B211" s="76" t="s">
        <v>2899</v>
      </c>
      <c r="C211" s="80" t="s">
        <v>941</v>
      </c>
    </row>
    <row r="212" spans="1:3" ht="15">
      <c r="A212" s="77" t="s">
        <v>224</v>
      </c>
      <c r="B212" s="76" t="s">
        <v>2567</v>
      </c>
      <c r="C212" s="80" t="s">
        <v>941</v>
      </c>
    </row>
    <row r="213" spans="1:3" ht="15">
      <c r="A213" s="77" t="s">
        <v>224</v>
      </c>
      <c r="B213" s="76" t="s">
        <v>2564</v>
      </c>
      <c r="C213" s="80" t="s">
        <v>941</v>
      </c>
    </row>
    <row r="214" spans="1:3" ht="15">
      <c r="A214" s="77" t="s">
        <v>224</v>
      </c>
      <c r="B214" s="76" t="s">
        <v>2503</v>
      </c>
      <c r="C214" s="80" t="s">
        <v>941</v>
      </c>
    </row>
    <row r="215" spans="1:3" ht="15">
      <c r="A215" s="77" t="s">
        <v>224</v>
      </c>
      <c r="B215" s="76" t="s">
        <v>2900</v>
      </c>
      <c r="C215" s="80" t="s">
        <v>941</v>
      </c>
    </row>
    <row r="216" spans="1:3" ht="15">
      <c r="A216" s="77" t="s">
        <v>224</v>
      </c>
      <c r="B216" s="76" t="s">
        <v>2442</v>
      </c>
      <c r="C216" s="80" t="s">
        <v>941</v>
      </c>
    </row>
    <row r="217" spans="1:3" ht="15">
      <c r="A217" s="77" t="s">
        <v>224</v>
      </c>
      <c r="B217" s="76" t="s">
        <v>2901</v>
      </c>
      <c r="C217" s="80" t="s">
        <v>941</v>
      </c>
    </row>
    <row r="218" spans="1:3" ht="15">
      <c r="A218" s="77" t="s">
        <v>224</v>
      </c>
      <c r="B218" s="76" t="s">
        <v>2902</v>
      </c>
      <c r="C218" s="80" t="s">
        <v>941</v>
      </c>
    </row>
    <row r="219" spans="1:3" ht="15">
      <c r="A219" s="77" t="s">
        <v>224</v>
      </c>
      <c r="B219" s="76" t="s">
        <v>2449</v>
      </c>
      <c r="C219" s="80" t="s">
        <v>941</v>
      </c>
    </row>
    <row r="220" spans="1:3" ht="15">
      <c r="A220" s="77" t="s">
        <v>224</v>
      </c>
      <c r="B220" s="76" t="s">
        <v>2741</v>
      </c>
      <c r="C220" s="80" t="s">
        <v>941</v>
      </c>
    </row>
    <row r="221" spans="1:3" ht="15">
      <c r="A221" s="77" t="s">
        <v>224</v>
      </c>
      <c r="B221" s="76" t="s">
        <v>2903</v>
      </c>
      <c r="C221" s="80" t="s">
        <v>941</v>
      </c>
    </row>
    <row r="222" spans="1:3" ht="15">
      <c r="A222" s="77" t="s">
        <v>224</v>
      </c>
      <c r="B222" s="76" t="s">
        <v>2464</v>
      </c>
      <c r="C222" s="80" t="s">
        <v>941</v>
      </c>
    </row>
    <row r="223" spans="1:3" ht="15">
      <c r="A223" s="77" t="s">
        <v>224</v>
      </c>
      <c r="B223" s="76" t="s">
        <v>2438</v>
      </c>
      <c r="C223" s="80" t="s">
        <v>941</v>
      </c>
    </row>
    <row r="224" spans="1:3" ht="15">
      <c r="A224" s="77" t="s">
        <v>224</v>
      </c>
      <c r="B224" s="76" t="s">
        <v>2452</v>
      </c>
      <c r="C224" s="80" t="s">
        <v>941</v>
      </c>
    </row>
    <row r="225" spans="1:3" ht="15">
      <c r="A225" s="77" t="s">
        <v>224</v>
      </c>
      <c r="B225" s="76" t="s">
        <v>2904</v>
      </c>
      <c r="C225" s="80" t="s">
        <v>941</v>
      </c>
    </row>
    <row r="226" spans="1:3" ht="15">
      <c r="A226" s="77" t="s">
        <v>224</v>
      </c>
      <c r="B226" s="76" t="s">
        <v>2905</v>
      </c>
      <c r="C226" s="80" t="s">
        <v>941</v>
      </c>
    </row>
    <row r="227" spans="1:3" ht="15">
      <c r="A227" s="77" t="s">
        <v>224</v>
      </c>
      <c r="B227" s="76" t="s">
        <v>2906</v>
      </c>
      <c r="C227" s="80" t="s">
        <v>941</v>
      </c>
    </row>
    <row r="228" spans="1:3" ht="15">
      <c r="A228" s="77" t="s">
        <v>224</v>
      </c>
      <c r="B228" s="76" t="s">
        <v>2907</v>
      </c>
      <c r="C228" s="80" t="s">
        <v>941</v>
      </c>
    </row>
    <row r="229" spans="1:3" ht="15">
      <c r="A229" s="77" t="s">
        <v>224</v>
      </c>
      <c r="B229" s="76" t="s">
        <v>2465</v>
      </c>
      <c r="C229" s="80" t="s">
        <v>941</v>
      </c>
    </row>
    <row r="230" spans="1:3" ht="15">
      <c r="A230" s="77" t="s">
        <v>224</v>
      </c>
      <c r="B230" s="76" t="s">
        <v>2908</v>
      </c>
      <c r="C230" s="80" t="s">
        <v>941</v>
      </c>
    </row>
    <row r="231" spans="1:3" ht="15">
      <c r="A231" s="77" t="s">
        <v>224</v>
      </c>
      <c r="B231" s="76" t="s">
        <v>2909</v>
      </c>
      <c r="C231" s="80" t="s">
        <v>941</v>
      </c>
    </row>
    <row r="232" spans="1:3" ht="15">
      <c r="A232" s="77" t="s">
        <v>303</v>
      </c>
      <c r="B232" s="76" t="s">
        <v>2438</v>
      </c>
      <c r="C232" s="80" t="s">
        <v>1028</v>
      </c>
    </row>
    <row r="233" spans="1:3" ht="15">
      <c r="A233" s="77" t="s">
        <v>303</v>
      </c>
      <c r="B233" s="76" t="s">
        <v>2453</v>
      </c>
      <c r="C233" s="80" t="s">
        <v>1028</v>
      </c>
    </row>
    <row r="234" spans="1:3" ht="15">
      <c r="A234" s="77" t="s">
        <v>303</v>
      </c>
      <c r="B234" s="76" t="s">
        <v>2910</v>
      </c>
      <c r="C234" s="80" t="s">
        <v>1028</v>
      </c>
    </row>
    <row r="235" spans="1:3" ht="15">
      <c r="A235" s="77" t="s">
        <v>303</v>
      </c>
      <c r="B235" s="76" t="s">
        <v>2503</v>
      </c>
      <c r="C235" s="80" t="s">
        <v>1028</v>
      </c>
    </row>
    <row r="236" spans="1:3" ht="15">
      <c r="A236" s="77" t="s">
        <v>303</v>
      </c>
      <c r="B236" s="76" t="s">
        <v>2467</v>
      </c>
      <c r="C236" s="80" t="s">
        <v>1028</v>
      </c>
    </row>
    <row r="237" spans="1:3" ht="15">
      <c r="A237" s="77" t="s">
        <v>303</v>
      </c>
      <c r="B237" s="76" t="s">
        <v>2911</v>
      </c>
      <c r="C237" s="80" t="s">
        <v>1028</v>
      </c>
    </row>
    <row r="238" spans="1:3" ht="15">
      <c r="A238" s="77" t="s">
        <v>303</v>
      </c>
      <c r="B238" s="76" t="s">
        <v>2912</v>
      </c>
      <c r="C238" s="80" t="s">
        <v>1028</v>
      </c>
    </row>
    <row r="239" spans="1:3" ht="15">
      <c r="A239" s="77" t="s">
        <v>303</v>
      </c>
      <c r="B239" s="76" t="s">
        <v>2913</v>
      </c>
      <c r="C239" s="80" t="s">
        <v>1028</v>
      </c>
    </row>
    <row r="240" spans="1:3" ht="15">
      <c r="A240" s="77" t="s">
        <v>303</v>
      </c>
      <c r="B240" s="76" t="s">
        <v>2914</v>
      </c>
      <c r="C240" s="80" t="s">
        <v>1028</v>
      </c>
    </row>
    <row r="241" spans="1:3" ht="15">
      <c r="A241" s="77" t="s">
        <v>303</v>
      </c>
      <c r="B241" s="76" t="s">
        <v>2534</v>
      </c>
      <c r="C241" s="80" t="s">
        <v>1028</v>
      </c>
    </row>
    <row r="242" spans="1:3" ht="15">
      <c r="A242" s="77" t="s">
        <v>303</v>
      </c>
      <c r="B242" s="76" t="s">
        <v>2458</v>
      </c>
      <c r="C242" s="80" t="s">
        <v>1028</v>
      </c>
    </row>
    <row r="243" spans="1:3" ht="15">
      <c r="A243" s="77" t="s">
        <v>303</v>
      </c>
      <c r="B243" s="76" t="s">
        <v>2507</v>
      </c>
      <c r="C243" s="80" t="s">
        <v>1028</v>
      </c>
    </row>
    <row r="244" spans="1:3" ht="15">
      <c r="A244" s="77" t="s">
        <v>303</v>
      </c>
      <c r="B244" s="76" t="s">
        <v>2518</v>
      </c>
      <c r="C244" s="80" t="s">
        <v>1028</v>
      </c>
    </row>
    <row r="245" spans="1:3" ht="15">
      <c r="A245" s="77" t="s">
        <v>303</v>
      </c>
      <c r="B245" s="76" t="s">
        <v>405</v>
      </c>
      <c r="C245" s="80" t="s">
        <v>1028</v>
      </c>
    </row>
    <row r="246" spans="1:3" ht="15">
      <c r="A246" s="77" t="s">
        <v>272</v>
      </c>
      <c r="B246" s="76" t="s">
        <v>2915</v>
      </c>
      <c r="C246" s="80" t="s">
        <v>993</v>
      </c>
    </row>
    <row r="247" spans="1:3" ht="15">
      <c r="A247" s="77" t="s">
        <v>272</v>
      </c>
      <c r="B247" s="76" t="s">
        <v>2485</v>
      </c>
      <c r="C247" s="80" t="s">
        <v>993</v>
      </c>
    </row>
    <row r="248" spans="1:3" ht="15">
      <c r="A248" s="77" t="s">
        <v>272</v>
      </c>
      <c r="B248" s="76" t="s">
        <v>2438</v>
      </c>
      <c r="C248" s="80" t="s">
        <v>993</v>
      </c>
    </row>
    <row r="249" spans="1:3" ht="15">
      <c r="A249" s="77" t="s">
        <v>272</v>
      </c>
      <c r="B249" s="76" t="s">
        <v>2439</v>
      </c>
      <c r="C249" s="80" t="s">
        <v>993</v>
      </c>
    </row>
    <row r="250" spans="1:3" ht="15">
      <c r="A250" s="77" t="s">
        <v>272</v>
      </c>
      <c r="B250" s="76" t="s">
        <v>2596</v>
      </c>
      <c r="C250" s="80" t="s">
        <v>993</v>
      </c>
    </row>
    <row r="251" spans="1:3" ht="15">
      <c r="A251" s="77" t="s">
        <v>272</v>
      </c>
      <c r="B251" s="76" t="s">
        <v>2506</v>
      </c>
      <c r="C251" s="80" t="s">
        <v>993</v>
      </c>
    </row>
    <row r="252" spans="1:3" ht="15">
      <c r="A252" s="77" t="s">
        <v>272</v>
      </c>
      <c r="B252" s="76" t="s">
        <v>2916</v>
      </c>
      <c r="C252" s="80" t="s">
        <v>993</v>
      </c>
    </row>
    <row r="253" spans="1:3" ht="15">
      <c r="A253" s="77" t="s">
        <v>272</v>
      </c>
      <c r="B253" s="76" t="s">
        <v>382</v>
      </c>
      <c r="C253" s="80" t="s">
        <v>993</v>
      </c>
    </row>
    <row r="254" spans="1:3" ht="15">
      <c r="A254" s="77" t="s">
        <v>251</v>
      </c>
      <c r="B254" s="76" t="s">
        <v>2917</v>
      </c>
      <c r="C254" s="80" t="s">
        <v>972</v>
      </c>
    </row>
    <row r="255" spans="1:3" ht="15">
      <c r="A255" s="77" t="s">
        <v>251</v>
      </c>
      <c r="B255" s="76" t="s">
        <v>2723</v>
      </c>
      <c r="C255" s="80" t="s">
        <v>972</v>
      </c>
    </row>
    <row r="256" spans="1:3" ht="15">
      <c r="A256" s="77" t="s">
        <v>251</v>
      </c>
      <c r="B256" s="76" t="s">
        <v>2918</v>
      </c>
      <c r="C256" s="80" t="s">
        <v>972</v>
      </c>
    </row>
    <row r="257" spans="1:3" ht="15">
      <c r="A257" s="77" t="s">
        <v>251</v>
      </c>
      <c r="B257" s="76" t="s">
        <v>2438</v>
      </c>
      <c r="C257" s="80" t="s">
        <v>972</v>
      </c>
    </row>
    <row r="258" spans="1:3" ht="15">
      <c r="A258" s="77" t="s">
        <v>251</v>
      </c>
      <c r="B258" s="76" t="s">
        <v>2919</v>
      </c>
      <c r="C258" s="80" t="s">
        <v>972</v>
      </c>
    </row>
    <row r="259" spans="1:3" ht="15">
      <c r="A259" s="77" t="s">
        <v>251</v>
      </c>
      <c r="B259" s="76" t="s">
        <v>2453</v>
      </c>
      <c r="C259" s="80" t="s">
        <v>972</v>
      </c>
    </row>
    <row r="260" spans="1:3" ht="15">
      <c r="A260" s="77" t="s">
        <v>251</v>
      </c>
      <c r="B260" s="76" t="s">
        <v>2920</v>
      </c>
      <c r="C260" s="80" t="s">
        <v>972</v>
      </c>
    </row>
    <row r="261" spans="1:3" ht="15">
      <c r="A261" s="77" t="s">
        <v>251</v>
      </c>
      <c r="B261" s="76" t="s">
        <v>2715</v>
      </c>
      <c r="C261" s="80" t="s">
        <v>972</v>
      </c>
    </row>
    <row r="262" spans="1:3" ht="15">
      <c r="A262" s="77" t="s">
        <v>251</v>
      </c>
      <c r="B262" s="76" t="s">
        <v>2486</v>
      </c>
      <c r="C262" s="80" t="s">
        <v>972</v>
      </c>
    </row>
    <row r="263" spans="1:3" ht="15">
      <c r="A263" s="77" t="s">
        <v>251</v>
      </c>
      <c r="B263" s="76" t="s">
        <v>2520</v>
      </c>
      <c r="C263" s="80" t="s">
        <v>972</v>
      </c>
    </row>
    <row r="264" spans="1:3" ht="15">
      <c r="A264" s="77" t="s">
        <v>251</v>
      </c>
      <c r="B264" s="76" t="s">
        <v>2700</v>
      </c>
      <c r="C264" s="80" t="s">
        <v>972</v>
      </c>
    </row>
    <row r="265" spans="1:3" ht="15">
      <c r="A265" s="77" t="s">
        <v>251</v>
      </c>
      <c r="B265" s="76" t="s">
        <v>2726</v>
      </c>
      <c r="C265" s="80" t="s">
        <v>972</v>
      </c>
    </row>
    <row r="266" spans="1:3" ht="15">
      <c r="A266" s="77" t="s">
        <v>251</v>
      </c>
      <c r="B266" s="76" t="s">
        <v>2548</v>
      </c>
      <c r="C266" s="80" t="s">
        <v>972</v>
      </c>
    </row>
    <row r="267" spans="1:3" ht="15">
      <c r="A267" s="77" t="s">
        <v>251</v>
      </c>
      <c r="B267" s="76" t="s">
        <v>2722</v>
      </c>
      <c r="C267" s="80" t="s">
        <v>972</v>
      </c>
    </row>
    <row r="268" spans="1:3" ht="15">
      <c r="A268" s="77" t="s">
        <v>251</v>
      </c>
      <c r="B268" s="76" t="s">
        <v>2921</v>
      </c>
      <c r="C268" s="80" t="s">
        <v>972</v>
      </c>
    </row>
    <row r="269" spans="1:3" ht="15">
      <c r="A269" s="77" t="s">
        <v>251</v>
      </c>
      <c r="B269" s="76" t="s">
        <v>2765</v>
      </c>
      <c r="C269" s="80" t="s">
        <v>972</v>
      </c>
    </row>
    <row r="270" spans="1:3" ht="15">
      <c r="A270" s="77" t="s">
        <v>251</v>
      </c>
      <c r="B270" s="76" t="s">
        <v>2922</v>
      </c>
      <c r="C270" s="80" t="s">
        <v>972</v>
      </c>
    </row>
    <row r="271" spans="1:3" ht="15">
      <c r="A271" s="77" t="s">
        <v>251</v>
      </c>
      <c r="B271" s="76" t="s">
        <v>2923</v>
      </c>
      <c r="C271" s="80" t="s">
        <v>972</v>
      </c>
    </row>
    <row r="272" spans="1:3" ht="15">
      <c r="A272" s="77" t="s">
        <v>251</v>
      </c>
      <c r="B272" s="76" t="s">
        <v>2924</v>
      </c>
      <c r="C272" s="80" t="s">
        <v>972</v>
      </c>
    </row>
    <row r="273" spans="1:3" ht="15">
      <c r="A273" s="77" t="s">
        <v>251</v>
      </c>
      <c r="B273" s="76" t="s">
        <v>2605</v>
      </c>
      <c r="C273" s="80" t="s">
        <v>972</v>
      </c>
    </row>
    <row r="274" spans="1:3" ht="15">
      <c r="A274" s="77" t="s">
        <v>251</v>
      </c>
      <c r="B274" s="76" t="s">
        <v>2925</v>
      </c>
      <c r="C274" s="80" t="s">
        <v>972</v>
      </c>
    </row>
    <row r="275" spans="1:3" ht="15">
      <c r="A275" s="77" t="s">
        <v>251</v>
      </c>
      <c r="B275" s="76" t="s">
        <v>2623</v>
      </c>
      <c r="C275" s="80" t="s">
        <v>972</v>
      </c>
    </row>
    <row r="276" spans="1:3" ht="15">
      <c r="A276" s="77" t="s">
        <v>251</v>
      </c>
      <c r="B276" s="76" t="s">
        <v>367</v>
      </c>
      <c r="C276" s="80" t="s">
        <v>972</v>
      </c>
    </row>
    <row r="277" spans="1:3" ht="15">
      <c r="A277" s="77" t="s">
        <v>251</v>
      </c>
      <c r="B277" s="76" t="s">
        <v>368</v>
      </c>
      <c r="C277" s="80" t="s">
        <v>972</v>
      </c>
    </row>
    <row r="278" spans="1:3" ht="15">
      <c r="A278" s="77" t="s">
        <v>316</v>
      </c>
      <c r="B278" s="76" t="s">
        <v>2926</v>
      </c>
      <c r="C278" s="80" t="s">
        <v>1051</v>
      </c>
    </row>
    <row r="279" spans="1:3" ht="15">
      <c r="A279" s="77" t="s">
        <v>316</v>
      </c>
      <c r="B279" s="76" t="s">
        <v>2566</v>
      </c>
      <c r="C279" s="80" t="s">
        <v>1051</v>
      </c>
    </row>
    <row r="280" spans="1:3" ht="15">
      <c r="A280" s="77" t="s">
        <v>316</v>
      </c>
      <c r="B280" s="76" t="s">
        <v>2927</v>
      </c>
      <c r="C280" s="80" t="s">
        <v>1051</v>
      </c>
    </row>
    <row r="281" spans="1:3" ht="15">
      <c r="A281" s="77" t="s">
        <v>316</v>
      </c>
      <c r="B281" s="76" t="s">
        <v>2697</v>
      </c>
      <c r="C281" s="80" t="s">
        <v>1051</v>
      </c>
    </row>
    <row r="282" spans="1:3" ht="15">
      <c r="A282" s="77" t="s">
        <v>316</v>
      </c>
      <c r="B282" s="76" t="s">
        <v>2928</v>
      </c>
      <c r="C282" s="80" t="s">
        <v>1051</v>
      </c>
    </row>
    <row r="283" spans="1:3" ht="15">
      <c r="A283" s="77" t="s">
        <v>316</v>
      </c>
      <c r="B283" s="76" t="s">
        <v>2642</v>
      </c>
      <c r="C283" s="80" t="s">
        <v>1051</v>
      </c>
    </row>
    <row r="284" spans="1:3" ht="15">
      <c r="A284" s="77" t="s">
        <v>316</v>
      </c>
      <c r="B284" s="76" t="s">
        <v>2442</v>
      </c>
      <c r="C284" s="80" t="s">
        <v>1051</v>
      </c>
    </row>
    <row r="285" spans="1:3" ht="15">
      <c r="A285" s="77" t="s">
        <v>316</v>
      </c>
      <c r="B285" s="76" t="s">
        <v>2929</v>
      </c>
      <c r="C285" s="80" t="s">
        <v>1051</v>
      </c>
    </row>
    <row r="286" spans="1:3" ht="15">
      <c r="A286" s="77" t="s">
        <v>316</v>
      </c>
      <c r="B286" s="76" t="s">
        <v>2930</v>
      </c>
      <c r="C286" s="80" t="s">
        <v>1051</v>
      </c>
    </row>
    <row r="287" spans="1:3" ht="15">
      <c r="A287" s="77" t="s">
        <v>316</v>
      </c>
      <c r="B287" s="76" t="s">
        <v>2931</v>
      </c>
      <c r="C287" s="80" t="s">
        <v>1051</v>
      </c>
    </row>
    <row r="288" spans="1:3" ht="15">
      <c r="A288" s="77" t="s">
        <v>316</v>
      </c>
      <c r="B288" s="76" t="s">
        <v>2597</v>
      </c>
      <c r="C288" s="80" t="s">
        <v>1051</v>
      </c>
    </row>
    <row r="289" spans="1:3" ht="15">
      <c r="A289" s="77" t="s">
        <v>316</v>
      </c>
      <c r="B289" s="76" t="s">
        <v>2932</v>
      </c>
      <c r="C289" s="80" t="s">
        <v>1051</v>
      </c>
    </row>
    <row r="290" spans="1:3" ht="15">
      <c r="A290" s="77" t="s">
        <v>316</v>
      </c>
      <c r="B290" s="76" t="s">
        <v>2580</v>
      </c>
      <c r="C290" s="80" t="s">
        <v>1051</v>
      </c>
    </row>
    <row r="291" spans="1:3" ht="15">
      <c r="A291" s="77" t="s">
        <v>316</v>
      </c>
      <c r="B291" s="76" t="s">
        <v>2702</v>
      </c>
      <c r="C291" s="80" t="s">
        <v>1051</v>
      </c>
    </row>
    <row r="292" spans="1:3" ht="15">
      <c r="A292" s="77" t="s">
        <v>316</v>
      </c>
      <c r="B292" s="76" t="s">
        <v>2438</v>
      </c>
      <c r="C292" s="80" t="s">
        <v>1051</v>
      </c>
    </row>
    <row r="293" spans="1:3" ht="15">
      <c r="A293" s="77" t="s">
        <v>316</v>
      </c>
      <c r="B293" s="76" t="s">
        <v>2933</v>
      </c>
      <c r="C293" s="80" t="s">
        <v>1051</v>
      </c>
    </row>
    <row r="294" spans="1:3" ht="15">
      <c r="A294" s="77" t="s">
        <v>316</v>
      </c>
      <c r="B294" s="76" t="s">
        <v>2934</v>
      </c>
      <c r="C294" s="80" t="s">
        <v>1051</v>
      </c>
    </row>
    <row r="295" spans="1:3" ht="15">
      <c r="A295" s="77" t="s">
        <v>316</v>
      </c>
      <c r="B295" s="76" t="s">
        <v>2935</v>
      </c>
      <c r="C295" s="80" t="s">
        <v>1051</v>
      </c>
    </row>
    <row r="296" spans="1:3" ht="15">
      <c r="A296" s="77" t="s">
        <v>316</v>
      </c>
      <c r="B296" s="76" t="s">
        <v>416</v>
      </c>
      <c r="C296" s="80" t="s">
        <v>1051</v>
      </c>
    </row>
    <row r="297" spans="1:3" ht="15">
      <c r="A297" s="77" t="s">
        <v>226</v>
      </c>
      <c r="B297" s="76" t="s">
        <v>2552</v>
      </c>
      <c r="C297" s="80" t="s">
        <v>943</v>
      </c>
    </row>
    <row r="298" spans="1:3" ht="15">
      <c r="A298" s="77" t="s">
        <v>226</v>
      </c>
      <c r="B298" s="76" t="s">
        <v>2936</v>
      </c>
      <c r="C298" s="80" t="s">
        <v>943</v>
      </c>
    </row>
    <row r="299" spans="1:3" ht="15">
      <c r="A299" s="77" t="s">
        <v>226</v>
      </c>
      <c r="B299" s="76" t="s">
        <v>2937</v>
      </c>
      <c r="C299" s="80" t="s">
        <v>943</v>
      </c>
    </row>
    <row r="300" spans="1:3" ht="15">
      <c r="A300" s="77" t="s">
        <v>226</v>
      </c>
      <c r="B300" s="76" t="s">
        <v>2790</v>
      </c>
      <c r="C300" s="80" t="s">
        <v>943</v>
      </c>
    </row>
    <row r="301" spans="1:3" ht="15">
      <c r="A301" s="77" t="s">
        <v>226</v>
      </c>
      <c r="B301" s="76" t="s">
        <v>2938</v>
      </c>
      <c r="C301" s="80" t="s">
        <v>943</v>
      </c>
    </row>
    <row r="302" spans="1:3" ht="15">
      <c r="A302" s="77" t="s">
        <v>226</v>
      </c>
      <c r="B302" s="76" t="s">
        <v>2939</v>
      </c>
      <c r="C302" s="80" t="s">
        <v>943</v>
      </c>
    </row>
    <row r="303" spans="1:3" ht="15">
      <c r="A303" s="77" t="s">
        <v>226</v>
      </c>
      <c r="B303" s="76" t="s">
        <v>2595</v>
      </c>
      <c r="C303" s="80" t="s">
        <v>943</v>
      </c>
    </row>
    <row r="304" spans="1:3" ht="15">
      <c r="A304" s="77" t="s">
        <v>226</v>
      </c>
      <c r="B304" s="76" t="s">
        <v>2940</v>
      </c>
      <c r="C304" s="80" t="s">
        <v>943</v>
      </c>
    </row>
    <row r="305" spans="1:3" ht="15">
      <c r="A305" s="77" t="s">
        <v>226</v>
      </c>
      <c r="B305" s="76" t="s">
        <v>2941</v>
      </c>
      <c r="C305" s="80" t="s">
        <v>943</v>
      </c>
    </row>
    <row r="306" spans="1:3" ht="15">
      <c r="A306" s="77" t="s">
        <v>226</v>
      </c>
      <c r="B306" s="76" t="s">
        <v>2554</v>
      </c>
      <c r="C306" s="80" t="s">
        <v>943</v>
      </c>
    </row>
    <row r="307" spans="1:3" ht="15">
      <c r="A307" s="77" t="s">
        <v>226</v>
      </c>
      <c r="B307" s="76" t="s">
        <v>2942</v>
      </c>
      <c r="C307" s="80" t="s">
        <v>943</v>
      </c>
    </row>
    <row r="308" spans="1:3" ht="15">
      <c r="A308" s="77" t="s">
        <v>226</v>
      </c>
      <c r="B308" s="76" t="s">
        <v>2667</v>
      </c>
      <c r="C308" s="80" t="s">
        <v>943</v>
      </c>
    </row>
    <row r="309" spans="1:3" ht="15">
      <c r="A309" s="77" t="s">
        <v>226</v>
      </c>
      <c r="B309" s="76" t="s">
        <v>2438</v>
      </c>
      <c r="C309" s="80" t="s">
        <v>943</v>
      </c>
    </row>
    <row r="310" spans="1:3" ht="15">
      <c r="A310" s="77" t="s">
        <v>226</v>
      </c>
      <c r="B310" s="76" t="s">
        <v>304</v>
      </c>
      <c r="C310" s="80" t="s">
        <v>943</v>
      </c>
    </row>
    <row r="311" spans="1:3" ht="15">
      <c r="A311" s="77" t="s">
        <v>286</v>
      </c>
      <c r="B311" s="76" t="s">
        <v>2943</v>
      </c>
      <c r="C311" s="80" t="s">
        <v>1009</v>
      </c>
    </row>
    <row r="312" spans="1:3" ht="15">
      <c r="A312" s="77" t="s">
        <v>286</v>
      </c>
      <c r="B312" s="76" t="s">
        <v>2721</v>
      </c>
      <c r="C312" s="80" t="s">
        <v>1009</v>
      </c>
    </row>
    <row r="313" spans="1:3" ht="15">
      <c r="A313" s="77" t="s">
        <v>286</v>
      </c>
      <c r="B313" s="76" t="s">
        <v>2944</v>
      </c>
      <c r="C313" s="80" t="s">
        <v>1009</v>
      </c>
    </row>
    <row r="314" spans="1:3" ht="15">
      <c r="A314" s="77" t="s">
        <v>286</v>
      </c>
      <c r="B314" s="76" t="s">
        <v>2945</v>
      </c>
      <c r="C314" s="80" t="s">
        <v>1009</v>
      </c>
    </row>
    <row r="315" spans="1:3" ht="15">
      <c r="A315" s="77" t="s">
        <v>325</v>
      </c>
      <c r="B315" s="76" t="s">
        <v>2946</v>
      </c>
      <c r="C315" s="80" t="s">
        <v>1063</v>
      </c>
    </row>
    <row r="316" spans="1:3" ht="15">
      <c r="A316" s="77" t="s">
        <v>325</v>
      </c>
      <c r="B316" s="76" t="s">
        <v>2455</v>
      </c>
      <c r="C316" s="80" t="s">
        <v>1063</v>
      </c>
    </row>
    <row r="317" spans="1:3" ht="15">
      <c r="A317" s="77" t="s">
        <v>325</v>
      </c>
      <c r="B317" s="76" t="s">
        <v>2947</v>
      </c>
      <c r="C317" s="80" t="s">
        <v>1063</v>
      </c>
    </row>
    <row r="318" spans="1:3" ht="15">
      <c r="A318" s="77" t="s">
        <v>325</v>
      </c>
      <c r="B318" s="76" t="s">
        <v>2948</v>
      </c>
      <c r="C318" s="80" t="s">
        <v>1063</v>
      </c>
    </row>
    <row r="319" spans="1:3" ht="15">
      <c r="A319" s="77" t="s">
        <v>325</v>
      </c>
      <c r="B319" s="76" t="s">
        <v>2497</v>
      </c>
      <c r="C319" s="80" t="s">
        <v>1063</v>
      </c>
    </row>
    <row r="320" spans="1:3" ht="15">
      <c r="A320" s="77" t="s">
        <v>325</v>
      </c>
      <c r="B320" s="76" t="s">
        <v>2949</v>
      </c>
      <c r="C320" s="80" t="s">
        <v>1063</v>
      </c>
    </row>
    <row r="321" spans="1:3" ht="15">
      <c r="A321" s="77" t="s">
        <v>325</v>
      </c>
      <c r="B321" s="76" t="s">
        <v>2950</v>
      </c>
      <c r="C321" s="80" t="s">
        <v>1063</v>
      </c>
    </row>
    <row r="322" spans="1:3" ht="15">
      <c r="A322" s="77" t="s">
        <v>325</v>
      </c>
      <c r="B322" s="76" t="s">
        <v>2951</v>
      </c>
      <c r="C322" s="80" t="s">
        <v>1063</v>
      </c>
    </row>
    <row r="323" spans="1:3" ht="15">
      <c r="A323" s="77" t="s">
        <v>325</v>
      </c>
      <c r="B323" s="76" t="s">
        <v>2676</v>
      </c>
      <c r="C323" s="80" t="s">
        <v>1063</v>
      </c>
    </row>
    <row r="324" spans="1:3" ht="15">
      <c r="A324" s="77" t="s">
        <v>325</v>
      </c>
      <c r="B324" s="76" t="s">
        <v>2952</v>
      </c>
      <c r="C324" s="80" t="s">
        <v>1063</v>
      </c>
    </row>
    <row r="325" spans="1:3" ht="15">
      <c r="A325" s="77" t="s">
        <v>325</v>
      </c>
      <c r="B325" s="76" t="s">
        <v>2953</v>
      </c>
      <c r="C325" s="80" t="s">
        <v>1063</v>
      </c>
    </row>
    <row r="326" spans="1:3" ht="15">
      <c r="A326" s="77" t="s">
        <v>325</v>
      </c>
      <c r="B326" s="76" t="s">
        <v>2954</v>
      </c>
      <c r="C326" s="80" t="s">
        <v>1063</v>
      </c>
    </row>
    <row r="327" spans="1:3" ht="15">
      <c r="A327" s="77" t="s">
        <v>325</v>
      </c>
      <c r="B327" s="76" t="s">
        <v>2955</v>
      </c>
      <c r="C327" s="80" t="s">
        <v>1063</v>
      </c>
    </row>
    <row r="328" spans="1:3" ht="15">
      <c r="A328" s="77" t="s">
        <v>325</v>
      </c>
      <c r="B328" s="76" t="s">
        <v>2456</v>
      </c>
      <c r="C328" s="80" t="s">
        <v>1063</v>
      </c>
    </row>
    <row r="329" spans="1:3" ht="15">
      <c r="A329" s="77" t="s">
        <v>325</v>
      </c>
      <c r="B329" s="76" t="s">
        <v>2695</v>
      </c>
      <c r="C329" s="80" t="s">
        <v>1063</v>
      </c>
    </row>
    <row r="330" spans="1:3" ht="15">
      <c r="A330" s="77" t="s">
        <v>325</v>
      </c>
      <c r="B330" s="76" t="s">
        <v>2438</v>
      </c>
      <c r="C330" s="80" t="s">
        <v>1063</v>
      </c>
    </row>
    <row r="331" spans="1:3" ht="15">
      <c r="A331" s="77" t="s">
        <v>325</v>
      </c>
      <c r="B331" s="76" t="s">
        <v>2709</v>
      </c>
      <c r="C331" s="80" t="s">
        <v>1063</v>
      </c>
    </row>
    <row r="332" spans="1:3" ht="15">
      <c r="A332" s="77" t="s">
        <v>325</v>
      </c>
      <c r="B332" s="76" t="s">
        <v>2447</v>
      </c>
      <c r="C332" s="80" t="s">
        <v>1063</v>
      </c>
    </row>
    <row r="333" spans="1:3" ht="15">
      <c r="A333" s="77" t="s">
        <v>325</v>
      </c>
      <c r="B333" s="76">
        <v>40</v>
      </c>
      <c r="C333" s="80" t="s">
        <v>1063</v>
      </c>
    </row>
    <row r="334" spans="1:3" ht="15">
      <c r="A334" s="77" t="s">
        <v>325</v>
      </c>
      <c r="B334" s="76" t="s">
        <v>2956</v>
      </c>
      <c r="C334" s="80" t="s">
        <v>1063</v>
      </c>
    </row>
    <row r="335" spans="1:3" ht="15">
      <c r="A335" s="77" t="s">
        <v>325</v>
      </c>
      <c r="B335" s="76" t="s">
        <v>2957</v>
      </c>
      <c r="C335" s="80" t="s">
        <v>1063</v>
      </c>
    </row>
    <row r="336" spans="1:3" ht="15">
      <c r="A336" s="77" t="s">
        <v>325</v>
      </c>
      <c r="B336" s="76" t="s">
        <v>2958</v>
      </c>
      <c r="C336" s="80" t="s">
        <v>1063</v>
      </c>
    </row>
    <row r="337" spans="1:3" ht="15">
      <c r="A337" s="77" t="s">
        <v>325</v>
      </c>
      <c r="B337" s="76" t="s">
        <v>2959</v>
      </c>
      <c r="C337" s="80" t="s">
        <v>1063</v>
      </c>
    </row>
    <row r="338" spans="1:3" ht="15">
      <c r="A338" s="77" t="s">
        <v>325</v>
      </c>
      <c r="B338" s="76" t="s">
        <v>2715</v>
      </c>
      <c r="C338" s="80" t="s">
        <v>1063</v>
      </c>
    </row>
    <row r="339" spans="1:3" ht="15">
      <c r="A339" s="77" t="s">
        <v>325</v>
      </c>
      <c r="B339" s="76" t="s">
        <v>2498</v>
      </c>
      <c r="C339" s="80" t="s">
        <v>1063</v>
      </c>
    </row>
    <row r="340" spans="1:3" ht="15">
      <c r="A340" s="77" t="s">
        <v>325</v>
      </c>
      <c r="B340" s="76" t="s">
        <v>428</v>
      </c>
      <c r="C340" s="80" t="s">
        <v>1063</v>
      </c>
    </row>
    <row r="341" spans="1:3" ht="15">
      <c r="A341" s="77" t="s">
        <v>297</v>
      </c>
      <c r="B341" s="76" t="s">
        <v>2960</v>
      </c>
      <c r="C341" s="80" t="s">
        <v>1022</v>
      </c>
    </row>
    <row r="342" spans="1:3" ht="15">
      <c r="A342" s="77" t="s">
        <v>297</v>
      </c>
      <c r="B342" s="76" t="s">
        <v>2961</v>
      </c>
      <c r="C342" s="80" t="s">
        <v>1022</v>
      </c>
    </row>
    <row r="343" spans="1:3" ht="15">
      <c r="A343" s="77" t="s">
        <v>297</v>
      </c>
      <c r="B343" s="76" t="s">
        <v>2446</v>
      </c>
      <c r="C343" s="80" t="s">
        <v>1022</v>
      </c>
    </row>
    <row r="344" spans="1:3" ht="15">
      <c r="A344" s="77" t="s">
        <v>297</v>
      </c>
      <c r="B344" s="76" t="s">
        <v>2457</v>
      </c>
      <c r="C344" s="80" t="s">
        <v>1022</v>
      </c>
    </row>
    <row r="345" spans="1:3" ht="15">
      <c r="A345" s="77" t="s">
        <v>297</v>
      </c>
      <c r="B345" s="76" t="s">
        <v>2438</v>
      </c>
      <c r="C345" s="80" t="s">
        <v>1022</v>
      </c>
    </row>
    <row r="346" spans="1:3" ht="15">
      <c r="A346" s="77" t="s">
        <v>297</v>
      </c>
      <c r="B346" s="76" t="s">
        <v>2439</v>
      </c>
      <c r="C346" s="80" t="s">
        <v>1022</v>
      </c>
    </row>
    <row r="347" spans="1:3" ht="15">
      <c r="A347" s="77" t="s">
        <v>297</v>
      </c>
      <c r="B347" s="76" t="s">
        <v>2481</v>
      </c>
      <c r="C347" s="80" t="s">
        <v>1022</v>
      </c>
    </row>
    <row r="348" spans="1:3" ht="15">
      <c r="A348" s="77" t="s">
        <v>297</v>
      </c>
      <c r="B348" s="76" t="s">
        <v>2962</v>
      </c>
      <c r="C348" s="80" t="s">
        <v>1022</v>
      </c>
    </row>
    <row r="349" spans="1:3" ht="15">
      <c r="A349" s="77" t="s">
        <v>297</v>
      </c>
      <c r="B349" s="76">
        <v>25</v>
      </c>
      <c r="C349" s="80" t="s">
        <v>1022</v>
      </c>
    </row>
    <row r="350" spans="1:3" ht="15">
      <c r="A350" s="77" t="s">
        <v>297</v>
      </c>
      <c r="B350" s="76" t="s">
        <v>2549</v>
      </c>
      <c r="C350" s="80" t="s">
        <v>1022</v>
      </c>
    </row>
    <row r="351" spans="1:3" ht="15">
      <c r="A351" s="77" t="s">
        <v>297</v>
      </c>
      <c r="B351" s="76" t="s">
        <v>2545</v>
      </c>
      <c r="C351" s="80" t="s">
        <v>1022</v>
      </c>
    </row>
    <row r="352" spans="1:3" ht="15">
      <c r="A352" s="77" t="s">
        <v>297</v>
      </c>
      <c r="B352" s="76" t="s">
        <v>2700</v>
      </c>
      <c r="C352" s="80" t="s">
        <v>1022</v>
      </c>
    </row>
    <row r="353" spans="1:3" ht="15">
      <c r="A353" s="77" t="s">
        <v>297</v>
      </c>
      <c r="B353" s="76" t="s">
        <v>2963</v>
      </c>
      <c r="C353" s="80" t="s">
        <v>1022</v>
      </c>
    </row>
    <row r="354" spans="1:3" ht="15">
      <c r="A354" s="77" t="s">
        <v>297</v>
      </c>
      <c r="B354" s="76" t="s">
        <v>2707</v>
      </c>
      <c r="C354" s="80" t="s">
        <v>1022</v>
      </c>
    </row>
    <row r="355" spans="1:3" ht="15">
      <c r="A355" s="77" t="s">
        <v>297</v>
      </c>
      <c r="B355" s="76" t="s">
        <v>2964</v>
      </c>
      <c r="C355" s="80" t="s">
        <v>1022</v>
      </c>
    </row>
    <row r="356" spans="1:3" ht="15">
      <c r="A356" s="77" t="s">
        <v>297</v>
      </c>
      <c r="B356" s="76" t="s">
        <v>2965</v>
      </c>
      <c r="C356" s="80" t="s">
        <v>1022</v>
      </c>
    </row>
    <row r="357" spans="1:3" ht="15">
      <c r="A357" s="77" t="s">
        <v>297</v>
      </c>
      <c r="B357" s="76" t="s">
        <v>404</v>
      </c>
      <c r="C357" s="80" t="s">
        <v>1022</v>
      </c>
    </row>
    <row r="358" spans="1:3" ht="15">
      <c r="A358" s="77" t="s">
        <v>291</v>
      </c>
      <c r="B358" s="76" t="s">
        <v>2966</v>
      </c>
      <c r="C358" s="80" t="s">
        <v>1016</v>
      </c>
    </row>
    <row r="359" spans="1:3" ht="15">
      <c r="A359" s="77" t="s">
        <v>291</v>
      </c>
      <c r="B359" s="76" t="s">
        <v>2967</v>
      </c>
      <c r="C359" s="80" t="s">
        <v>1016</v>
      </c>
    </row>
    <row r="360" spans="1:3" ht="15">
      <c r="A360" s="77" t="s">
        <v>291</v>
      </c>
      <c r="B360" s="76" t="s">
        <v>2968</v>
      </c>
      <c r="C360" s="80" t="s">
        <v>1016</v>
      </c>
    </row>
    <row r="361" spans="1:3" ht="15">
      <c r="A361" s="77" t="s">
        <v>291</v>
      </c>
      <c r="B361" s="76" t="s">
        <v>2969</v>
      </c>
      <c r="C361" s="80" t="s">
        <v>1016</v>
      </c>
    </row>
    <row r="362" spans="1:3" ht="15">
      <c r="A362" s="77" t="s">
        <v>291</v>
      </c>
      <c r="B362" s="76" t="s">
        <v>2970</v>
      </c>
      <c r="C362" s="80" t="s">
        <v>1016</v>
      </c>
    </row>
    <row r="363" spans="1:3" ht="15">
      <c r="A363" s="77" t="s">
        <v>291</v>
      </c>
      <c r="B363" s="76" t="s">
        <v>2971</v>
      </c>
      <c r="C363" s="80" t="s">
        <v>1016</v>
      </c>
    </row>
    <row r="364" spans="1:3" ht="15">
      <c r="A364" s="77" t="s">
        <v>291</v>
      </c>
      <c r="B364" s="76" t="s">
        <v>2972</v>
      </c>
      <c r="C364" s="80" t="s">
        <v>1016</v>
      </c>
    </row>
    <row r="365" spans="1:3" ht="15">
      <c r="A365" s="77" t="s">
        <v>291</v>
      </c>
      <c r="B365" s="76" t="s">
        <v>2552</v>
      </c>
      <c r="C365" s="80" t="s">
        <v>1016</v>
      </c>
    </row>
    <row r="366" spans="1:3" ht="15">
      <c r="A366" s="77" t="s">
        <v>291</v>
      </c>
      <c r="B366" s="76" t="s">
        <v>2478</v>
      </c>
      <c r="C366" s="80" t="s">
        <v>1016</v>
      </c>
    </row>
    <row r="367" spans="1:3" ht="15">
      <c r="A367" s="77" t="s">
        <v>291</v>
      </c>
      <c r="B367" s="76" t="s">
        <v>2973</v>
      </c>
      <c r="C367" s="80" t="s">
        <v>1016</v>
      </c>
    </row>
    <row r="368" spans="1:3" ht="15">
      <c r="A368" s="77" t="s">
        <v>291</v>
      </c>
      <c r="B368" s="76" t="s">
        <v>2438</v>
      </c>
      <c r="C368" s="80" t="s">
        <v>1016</v>
      </c>
    </row>
    <row r="369" spans="1:3" ht="15">
      <c r="A369" s="77" t="s">
        <v>291</v>
      </c>
      <c r="B369" s="76" t="s">
        <v>2451</v>
      </c>
      <c r="C369" s="80" t="s">
        <v>1016</v>
      </c>
    </row>
    <row r="370" spans="1:3" ht="15">
      <c r="A370" s="77" t="s">
        <v>291</v>
      </c>
      <c r="B370" s="76" t="s">
        <v>2974</v>
      </c>
      <c r="C370" s="80" t="s">
        <v>1016</v>
      </c>
    </row>
    <row r="371" spans="1:3" ht="15">
      <c r="A371" s="77" t="s">
        <v>291</v>
      </c>
      <c r="B371" s="76" t="s">
        <v>2517</v>
      </c>
      <c r="C371" s="80" t="s">
        <v>1016</v>
      </c>
    </row>
    <row r="372" spans="1:3" ht="15">
      <c r="A372" s="77" t="s">
        <v>291</v>
      </c>
      <c r="B372" s="76" t="s">
        <v>2975</v>
      </c>
      <c r="C372" s="80" t="s">
        <v>1016</v>
      </c>
    </row>
    <row r="373" spans="1:3" ht="15">
      <c r="A373" s="77" t="s">
        <v>291</v>
      </c>
      <c r="B373" s="76" t="s">
        <v>2976</v>
      </c>
      <c r="C373" s="80" t="s">
        <v>1016</v>
      </c>
    </row>
    <row r="374" spans="1:3" ht="15">
      <c r="A374" s="77" t="s">
        <v>291</v>
      </c>
      <c r="B374" s="76" t="s">
        <v>2977</v>
      </c>
      <c r="C374" s="80" t="s">
        <v>1016</v>
      </c>
    </row>
    <row r="375" spans="1:3" ht="15">
      <c r="A375" s="77" t="s">
        <v>291</v>
      </c>
      <c r="B375" s="76" t="s">
        <v>2978</v>
      </c>
      <c r="C375" s="80" t="s">
        <v>1016</v>
      </c>
    </row>
    <row r="376" spans="1:3" ht="15">
      <c r="A376" s="77" t="s">
        <v>291</v>
      </c>
      <c r="B376" s="76" t="s">
        <v>2979</v>
      </c>
      <c r="C376" s="80" t="s">
        <v>1016</v>
      </c>
    </row>
    <row r="377" spans="1:3" ht="15">
      <c r="A377" s="77" t="s">
        <v>291</v>
      </c>
      <c r="B377" s="76" t="s">
        <v>2479</v>
      </c>
      <c r="C377" s="80" t="s">
        <v>1016</v>
      </c>
    </row>
    <row r="378" spans="1:3" ht="15">
      <c r="A378" s="77" t="s">
        <v>291</v>
      </c>
      <c r="B378" s="76" t="s">
        <v>2980</v>
      </c>
      <c r="C378" s="80" t="s">
        <v>1016</v>
      </c>
    </row>
    <row r="379" spans="1:3" ht="15">
      <c r="A379" s="77" t="s">
        <v>291</v>
      </c>
      <c r="B379" s="76" t="s">
        <v>2981</v>
      </c>
      <c r="C379" s="80" t="s">
        <v>1016</v>
      </c>
    </row>
    <row r="380" spans="1:3" ht="15">
      <c r="A380" s="77" t="s">
        <v>291</v>
      </c>
      <c r="B380" s="76" t="s">
        <v>2750</v>
      </c>
      <c r="C380" s="80" t="s">
        <v>1016</v>
      </c>
    </row>
    <row r="381" spans="1:3" ht="15">
      <c r="A381" s="77" t="s">
        <v>291</v>
      </c>
      <c r="B381" s="76" t="s">
        <v>2982</v>
      </c>
      <c r="C381" s="80" t="s">
        <v>1016</v>
      </c>
    </row>
    <row r="382" spans="1:3" ht="15">
      <c r="A382" s="77" t="s">
        <v>291</v>
      </c>
      <c r="B382" s="76" t="s">
        <v>2983</v>
      </c>
      <c r="C382" s="80" t="s">
        <v>1016</v>
      </c>
    </row>
    <row r="383" spans="1:3" ht="15">
      <c r="A383" s="77" t="s">
        <v>291</v>
      </c>
      <c r="B383" s="76" t="s">
        <v>2632</v>
      </c>
      <c r="C383" s="80" t="s">
        <v>1016</v>
      </c>
    </row>
    <row r="384" spans="1:3" ht="15">
      <c r="A384" s="77" t="s">
        <v>291</v>
      </c>
      <c r="B384" s="76" t="s">
        <v>2984</v>
      </c>
      <c r="C384" s="80" t="s">
        <v>1016</v>
      </c>
    </row>
    <row r="385" spans="1:3" ht="15">
      <c r="A385" s="77" t="s">
        <v>291</v>
      </c>
      <c r="B385" s="76" t="s">
        <v>2985</v>
      </c>
      <c r="C385" s="80" t="s">
        <v>1016</v>
      </c>
    </row>
    <row r="386" spans="1:3" ht="15">
      <c r="A386" s="77" t="s">
        <v>291</v>
      </c>
      <c r="B386" s="76" t="s">
        <v>2462</v>
      </c>
      <c r="C386" s="80" t="s">
        <v>1016</v>
      </c>
    </row>
    <row r="387" spans="1:3" ht="15">
      <c r="A387" s="77" t="s">
        <v>291</v>
      </c>
      <c r="B387" s="76" t="s">
        <v>398</v>
      </c>
      <c r="C387" s="80" t="s">
        <v>1016</v>
      </c>
    </row>
    <row r="388" spans="1:3" ht="15">
      <c r="A388" s="77" t="s">
        <v>291</v>
      </c>
      <c r="B388" s="76" t="s">
        <v>399</v>
      </c>
      <c r="C388" s="80" t="s">
        <v>1016</v>
      </c>
    </row>
    <row r="389" spans="1:3" ht="15">
      <c r="A389" s="77" t="s">
        <v>291</v>
      </c>
      <c r="B389" s="76" t="s">
        <v>400</v>
      </c>
      <c r="C389" s="80" t="s">
        <v>1016</v>
      </c>
    </row>
    <row r="390" spans="1:3" ht="15">
      <c r="A390" s="77" t="s">
        <v>291</v>
      </c>
      <c r="B390" s="76" t="s">
        <v>401</v>
      </c>
      <c r="C390" s="80" t="s">
        <v>1016</v>
      </c>
    </row>
    <row r="391" spans="1:3" ht="15">
      <c r="A391" s="77" t="s">
        <v>291</v>
      </c>
      <c r="B391" s="76" t="s">
        <v>402</v>
      </c>
      <c r="C391" s="80" t="s">
        <v>1016</v>
      </c>
    </row>
    <row r="392" spans="1:3" ht="15">
      <c r="A392" s="77" t="s">
        <v>312</v>
      </c>
      <c r="B392" s="76" t="s">
        <v>2438</v>
      </c>
      <c r="C392" s="80" t="s">
        <v>1045</v>
      </c>
    </row>
    <row r="393" spans="1:3" ht="15">
      <c r="A393" s="77" t="s">
        <v>312</v>
      </c>
      <c r="B393" s="76" t="s">
        <v>2644</v>
      </c>
      <c r="C393" s="80" t="s">
        <v>1045</v>
      </c>
    </row>
    <row r="394" spans="1:3" ht="15">
      <c r="A394" s="77" t="s">
        <v>312</v>
      </c>
      <c r="B394" s="76" t="s">
        <v>411</v>
      </c>
      <c r="C394" s="80" t="s">
        <v>1045</v>
      </c>
    </row>
    <row r="395" spans="1:3" ht="15">
      <c r="A395" s="77" t="s">
        <v>319</v>
      </c>
      <c r="B395" s="76" t="s">
        <v>2986</v>
      </c>
      <c r="C395" s="80" t="s">
        <v>1057</v>
      </c>
    </row>
    <row r="396" spans="1:3" ht="15">
      <c r="A396" s="77" t="s">
        <v>319</v>
      </c>
      <c r="B396" s="76" t="s">
        <v>2498</v>
      </c>
      <c r="C396" s="80" t="s">
        <v>1057</v>
      </c>
    </row>
    <row r="397" spans="1:3" ht="15">
      <c r="A397" s="77" t="s">
        <v>319</v>
      </c>
      <c r="B397" s="76" t="s">
        <v>2987</v>
      </c>
      <c r="C397" s="80" t="s">
        <v>1057</v>
      </c>
    </row>
    <row r="398" spans="1:3" ht="15">
      <c r="A398" s="77" t="s">
        <v>319</v>
      </c>
      <c r="B398" s="76" t="s">
        <v>2988</v>
      </c>
      <c r="C398" s="80" t="s">
        <v>1057</v>
      </c>
    </row>
    <row r="399" spans="1:3" ht="15">
      <c r="A399" s="77" t="s">
        <v>319</v>
      </c>
      <c r="B399" s="76" t="s">
        <v>2448</v>
      </c>
      <c r="C399" s="80" t="s">
        <v>1057</v>
      </c>
    </row>
    <row r="400" spans="1:3" ht="15">
      <c r="A400" s="77" t="s">
        <v>319</v>
      </c>
      <c r="B400" s="76" t="s">
        <v>2438</v>
      </c>
      <c r="C400" s="80" t="s">
        <v>1057</v>
      </c>
    </row>
    <row r="401" spans="1:3" ht="15">
      <c r="A401" s="77" t="s">
        <v>319</v>
      </c>
      <c r="B401" s="76" t="s">
        <v>2568</v>
      </c>
      <c r="C401" s="80" t="s">
        <v>1057</v>
      </c>
    </row>
    <row r="402" spans="1:3" ht="15">
      <c r="A402" s="77" t="s">
        <v>319</v>
      </c>
      <c r="B402" s="76" t="s">
        <v>2602</v>
      </c>
      <c r="C402" s="80" t="s">
        <v>1057</v>
      </c>
    </row>
    <row r="403" spans="1:3" ht="15">
      <c r="A403" s="77" t="s">
        <v>319</v>
      </c>
      <c r="B403" s="76" t="s">
        <v>426</v>
      </c>
      <c r="C403" s="80" t="s">
        <v>1057</v>
      </c>
    </row>
    <row r="404" spans="1:3" ht="15">
      <c r="A404" s="77" t="s">
        <v>232</v>
      </c>
      <c r="B404" s="76" t="s">
        <v>2667</v>
      </c>
      <c r="C404" s="80" t="s">
        <v>950</v>
      </c>
    </row>
    <row r="405" spans="1:3" ht="15">
      <c r="A405" s="77" t="s">
        <v>232</v>
      </c>
      <c r="B405" s="76" t="s">
        <v>2438</v>
      </c>
      <c r="C405" s="80" t="s">
        <v>950</v>
      </c>
    </row>
    <row r="406" spans="1:3" ht="15">
      <c r="A406" s="77" t="s">
        <v>232</v>
      </c>
      <c r="B406" s="76" t="s">
        <v>2989</v>
      </c>
      <c r="C406" s="80" t="s">
        <v>950</v>
      </c>
    </row>
    <row r="407" spans="1:3" ht="15">
      <c r="A407" s="77" t="s">
        <v>232</v>
      </c>
      <c r="B407" s="76" t="s">
        <v>2990</v>
      </c>
      <c r="C407" s="80" t="s">
        <v>950</v>
      </c>
    </row>
    <row r="408" spans="1:3" ht="15">
      <c r="A408" s="77" t="s">
        <v>232</v>
      </c>
      <c r="B408" s="76" t="s">
        <v>2991</v>
      </c>
      <c r="C408" s="80" t="s">
        <v>950</v>
      </c>
    </row>
    <row r="409" spans="1:3" ht="15">
      <c r="A409" s="77" t="s">
        <v>232</v>
      </c>
      <c r="B409" s="76" t="s">
        <v>2740</v>
      </c>
      <c r="C409" s="80" t="s">
        <v>950</v>
      </c>
    </row>
    <row r="410" spans="1:3" ht="15">
      <c r="A410" s="77" t="s">
        <v>232</v>
      </c>
      <c r="B410" s="76" t="s">
        <v>2992</v>
      </c>
      <c r="C410" s="80" t="s">
        <v>950</v>
      </c>
    </row>
    <row r="411" spans="1:3" ht="15">
      <c r="A411" s="77" t="s">
        <v>232</v>
      </c>
      <c r="B411" s="76" t="s">
        <v>2993</v>
      </c>
      <c r="C411" s="80" t="s">
        <v>950</v>
      </c>
    </row>
    <row r="412" spans="1:3" ht="15">
      <c r="A412" s="77" t="s">
        <v>232</v>
      </c>
      <c r="B412" s="76" t="s">
        <v>2455</v>
      </c>
      <c r="C412" s="80" t="s">
        <v>950</v>
      </c>
    </row>
    <row r="413" spans="1:3" ht="15">
      <c r="A413" s="77" t="s">
        <v>232</v>
      </c>
      <c r="B413" s="76" t="s">
        <v>350</v>
      </c>
      <c r="C413" s="80" t="s">
        <v>950</v>
      </c>
    </row>
    <row r="414" spans="1:3" ht="15">
      <c r="A414" s="77" t="s">
        <v>266</v>
      </c>
      <c r="B414" s="76" t="s">
        <v>588</v>
      </c>
      <c r="C414" s="80" t="s">
        <v>987</v>
      </c>
    </row>
    <row r="415" spans="1:3" ht="15">
      <c r="A415" s="77" t="s">
        <v>266</v>
      </c>
      <c r="B415" s="76" t="s">
        <v>2685</v>
      </c>
      <c r="C415" s="80" t="s">
        <v>987</v>
      </c>
    </row>
    <row r="416" spans="1:3" ht="15">
      <c r="A416" s="77" t="s">
        <v>266</v>
      </c>
      <c r="B416" s="76" t="s">
        <v>2994</v>
      </c>
      <c r="C416" s="80" t="s">
        <v>987</v>
      </c>
    </row>
    <row r="417" spans="1:3" ht="15">
      <c r="A417" s="77" t="s">
        <v>266</v>
      </c>
      <c r="B417" s="76" t="s">
        <v>2793</v>
      </c>
      <c r="C417" s="80" t="s">
        <v>987</v>
      </c>
    </row>
    <row r="418" spans="1:3" ht="15">
      <c r="A418" s="77" t="s">
        <v>266</v>
      </c>
      <c r="B418" s="76" t="s">
        <v>2636</v>
      </c>
      <c r="C418" s="80" t="s">
        <v>987</v>
      </c>
    </row>
    <row r="419" spans="1:3" ht="15">
      <c r="A419" s="77" t="s">
        <v>266</v>
      </c>
      <c r="B419" s="76" t="s">
        <v>2995</v>
      </c>
      <c r="C419" s="80" t="s">
        <v>987</v>
      </c>
    </row>
    <row r="420" spans="1:3" ht="15">
      <c r="A420" s="77" t="s">
        <v>266</v>
      </c>
      <c r="B420" s="76" t="s">
        <v>2996</v>
      </c>
      <c r="C420" s="80" t="s">
        <v>987</v>
      </c>
    </row>
    <row r="421" spans="1:3" ht="15">
      <c r="A421" s="77" t="s">
        <v>266</v>
      </c>
      <c r="B421" s="76" t="s">
        <v>2997</v>
      </c>
      <c r="C421" s="80" t="s">
        <v>987</v>
      </c>
    </row>
    <row r="422" spans="1:3" ht="15">
      <c r="A422" s="77" t="s">
        <v>266</v>
      </c>
      <c r="B422" s="76" t="s">
        <v>2998</v>
      </c>
      <c r="C422" s="80" t="s">
        <v>987</v>
      </c>
    </row>
    <row r="423" spans="1:3" ht="15">
      <c r="A423" s="77" t="s">
        <v>266</v>
      </c>
      <c r="B423" s="76" t="s">
        <v>2999</v>
      </c>
      <c r="C423" s="80" t="s">
        <v>987</v>
      </c>
    </row>
    <row r="424" spans="1:3" ht="15">
      <c r="A424" s="77" t="s">
        <v>266</v>
      </c>
      <c r="B424" s="76" t="s">
        <v>3000</v>
      </c>
      <c r="C424" s="80" t="s">
        <v>987</v>
      </c>
    </row>
    <row r="425" spans="1:3" ht="15">
      <c r="A425" s="77" t="s">
        <v>266</v>
      </c>
      <c r="B425" s="76" t="s">
        <v>3001</v>
      </c>
      <c r="C425" s="80" t="s">
        <v>987</v>
      </c>
    </row>
    <row r="426" spans="1:3" ht="15">
      <c r="A426" s="77" t="s">
        <v>266</v>
      </c>
      <c r="B426" s="76" t="s">
        <v>2438</v>
      </c>
      <c r="C426" s="80" t="s">
        <v>987</v>
      </c>
    </row>
    <row r="427" spans="1:3" ht="15">
      <c r="A427" s="77" t="s">
        <v>266</v>
      </c>
      <c r="B427" s="76" t="s">
        <v>3002</v>
      </c>
      <c r="C427" s="80" t="s">
        <v>987</v>
      </c>
    </row>
    <row r="428" spans="1:3" ht="15">
      <c r="A428" s="77" t="s">
        <v>266</v>
      </c>
      <c r="B428" s="76" t="s">
        <v>3003</v>
      </c>
      <c r="C428" s="80" t="s">
        <v>987</v>
      </c>
    </row>
    <row r="429" spans="1:3" ht="15">
      <c r="A429" s="77" t="s">
        <v>266</v>
      </c>
      <c r="B429" s="76" t="s">
        <v>3004</v>
      </c>
      <c r="C429" s="80" t="s">
        <v>987</v>
      </c>
    </row>
    <row r="430" spans="1:3" ht="15">
      <c r="A430" s="77" t="s">
        <v>266</v>
      </c>
      <c r="B430" s="76" t="s">
        <v>3005</v>
      </c>
      <c r="C430" s="80" t="s">
        <v>987</v>
      </c>
    </row>
    <row r="431" spans="1:3" ht="15">
      <c r="A431" s="77" t="s">
        <v>266</v>
      </c>
      <c r="B431" s="76" t="s">
        <v>3006</v>
      </c>
      <c r="C431" s="80" t="s">
        <v>987</v>
      </c>
    </row>
    <row r="432" spans="1:3" ht="15">
      <c r="A432" s="77" t="s">
        <v>266</v>
      </c>
      <c r="B432" s="76" t="s">
        <v>2579</v>
      </c>
      <c r="C432" s="80" t="s">
        <v>987</v>
      </c>
    </row>
    <row r="433" spans="1:3" ht="15">
      <c r="A433" s="77" t="s">
        <v>266</v>
      </c>
      <c r="B433" s="76" t="s">
        <v>2698</v>
      </c>
      <c r="C433" s="80" t="s">
        <v>987</v>
      </c>
    </row>
    <row r="434" spans="1:3" ht="15">
      <c r="A434" s="77" t="s">
        <v>266</v>
      </c>
      <c r="B434" s="76" t="s">
        <v>2493</v>
      </c>
      <c r="C434" s="80" t="s">
        <v>987</v>
      </c>
    </row>
    <row r="435" spans="1:3" ht="15">
      <c r="A435" s="77" t="s">
        <v>266</v>
      </c>
      <c r="B435" s="76" t="s">
        <v>3007</v>
      </c>
      <c r="C435" s="80" t="s">
        <v>987</v>
      </c>
    </row>
    <row r="436" spans="1:3" ht="15">
      <c r="A436" s="77" t="s">
        <v>266</v>
      </c>
      <c r="B436" s="76" t="s">
        <v>377</v>
      </c>
      <c r="C436" s="80" t="s">
        <v>987</v>
      </c>
    </row>
    <row r="437" spans="1:3" ht="15">
      <c r="A437" s="77" t="s">
        <v>295</v>
      </c>
      <c r="B437" s="76">
        <v>1</v>
      </c>
      <c r="C437" s="80" t="s">
        <v>1020</v>
      </c>
    </row>
    <row r="438" spans="1:3" ht="15">
      <c r="A438" s="77" t="s">
        <v>295</v>
      </c>
      <c r="B438" s="76" t="s">
        <v>3008</v>
      </c>
      <c r="C438" s="80" t="s">
        <v>1020</v>
      </c>
    </row>
    <row r="439" spans="1:3" ht="15">
      <c r="A439" s="77" t="s">
        <v>295</v>
      </c>
      <c r="B439" s="76" t="s">
        <v>3009</v>
      </c>
      <c r="C439" s="80" t="s">
        <v>1020</v>
      </c>
    </row>
    <row r="440" spans="1:3" ht="15">
      <c r="A440" s="77" t="s">
        <v>295</v>
      </c>
      <c r="B440" s="76" t="s">
        <v>2438</v>
      </c>
      <c r="C440" s="80" t="s">
        <v>1020</v>
      </c>
    </row>
    <row r="441" spans="1:3" ht="15">
      <c r="A441" s="77" t="s">
        <v>295</v>
      </c>
      <c r="B441" s="76" t="s">
        <v>3010</v>
      </c>
      <c r="C441" s="80" t="s">
        <v>1020</v>
      </c>
    </row>
    <row r="442" spans="1:3" ht="15">
      <c r="A442" s="77" t="s">
        <v>295</v>
      </c>
      <c r="B442" s="76" t="s">
        <v>591</v>
      </c>
      <c r="C442" s="80" t="s">
        <v>1020</v>
      </c>
    </row>
    <row r="443" spans="1:3" ht="15">
      <c r="A443" s="77" t="s">
        <v>238</v>
      </c>
      <c r="B443" s="76">
        <v>19</v>
      </c>
      <c r="C443" s="80" t="s">
        <v>957</v>
      </c>
    </row>
    <row r="444" spans="1:3" ht="15">
      <c r="A444" s="77" t="s">
        <v>238</v>
      </c>
      <c r="B444" s="76" t="s">
        <v>2490</v>
      </c>
      <c r="C444" s="80" t="s">
        <v>957</v>
      </c>
    </row>
    <row r="445" spans="1:3" ht="15">
      <c r="A445" s="77" t="s">
        <v>238</v>
      </c>
      <c r="B445" s="76" t="s">
        <v>3011</v>
      </c>
      <c r="C445" s="80" t="s">
        <v>957</v>
      </c>
    </row>
    <row r="446" spans="1:3" ht="15">
      <c r="A446" s="77" t="s">
        <v>238</v>
      </c>
      <c r="B446" s="76" t="s">
        <v>2778</v>
      </c>
      <c r="C446" s="80" t="s">
        <v>957</v>
      </c>
    </row>
    <row r="447" spans="1:3" ht="15">
      <c r="A447" s="77" t="s">
        <v>238</v>
      </c>
      <c r="B447" s="76">
        <v>2020</v>
      </c>
      <c r="C447" s="80" t="s">
        <v>957</v>
      </c>
    </row>
    <row r="448" spans="1:3" ht="15">
      <c r="A448" s="77" t="s">
        <v>238</v>
      </c>
      <c r="B448" s="76" t="s">
        <v>3012</v>
      </c>
      <c r="C448" s="80" t="s">
        <v>957</v>
      </c>
    </row>
    <row r="449" spans="1:3" ht="15">
      <c r="A449" s="77" t="s">
        <v>238</v>
      </c>
      <c r="B449" s="76" t="s">
        <v>3013</v>
      </c>
      <c r="C449" s="80" t="s">
        <v>957</v>
      </c>
    </row>
    <row r="450" spans="1:3" ht="15">
      <c r="A450" s="77" t="s">
        <v>238</v>
      </c>
      <c r="B450" s="76" t="s">
        <v>3014</v>
      </c>
      <c r="C450" s="80" t="s">
        <v>957</v>
      </c>
    </row>
    <row r="451" spans="1:3" ht="15">
      <c r="A451" s="77" t="s">
        <v>238</v>
      </c>
      <c r="B451" s="76" t="s">
        <v>3015</v>
      </c>
      <c r="C451" s="80" t="s">
        <v>957</v>
      </c>
    </row>
    <row r="452" spans="1:3" ht="15">
      <c r="A452" s="77" t="s">
        <v>238</v>
      </c>
      <c r="B452" s="76" t="s">
        <v>3016</v>
      </c>
      <c r="C452" s="80" t="s">
        <v>957</v>
      </c>
    </row>
    <row r="453" spans="1:3" ht="15">
      <c r="A453" s="77" t="s">
        <v>238</v>
      </c>
      <c r="B453" s="76" t="s">
        <v>3017</v>
      </c>
      <c r="C453" s="80" t="s">
        <v>957</v>
      </c>
    </row>
    <row r="454" spans="1:3" ht="15">
      <c r="A454" s="77" t="s">
        <v>238</v>
      </c>
      <c r="B454" s="76" t="s">
        <v>3018</v>
      </c>
      <c r="C454" s="80" t="s">
        <v>957</v>
      </c>
    </row>
    <row r="455" spans="1:3" ht="15">
      <c r="A455" s="77" t="s">
        <v>238</v>
      </c>
      <c r="B455" s="76" t="s">
        <v>2594</v>
      </c>
      <c r="C455" s="80" t="s">
        <v>957</v>
      </c>
    </row>
    <row r="456" spans="1:3" ht="15">
      <c r="A456" s="77" t="s">
        <v>238</v>
      </c>
      <c r="B456" s="76" t="s">
        <v>3019</v>
      </c>
      <c r="C456" s="80" t="s">
        <v>957</v>
      </c>
    </row>
    <row r="457" spans="1:3" ht="15">
      <c r="A457" s="77" t="s">
        <v>238</v>
      </c>
      <c r="B457" s="76" t="s">
        <v>3020</v>
      </c>
      <c r="C457" s="80" t="s">
        <v>957</v>
      </c>
    </row>
    <row r="458" spans="1:3" ht="15">
      <c r="A458" s="77" t="s">
        <v>238</v>
      </c>
      <c r="B458" s="76" t="s">
        <v>3021</v>
      </c>
      <c r="C458" s="80" t="s">
        <v>957</v>
      </c>
    </row>
    <row r="459" spans="1:3" ht="15">
      <c r="A459" s="77" t="s">
        <v>238</v>
      </c>
      <c r="B459" s="76" t="s">
        <v>3022</v>
      </c>
      <c r="C459" s="80" t="s">
        <v>957</v>
      </c>
    </row>
    <row r="460" spans="1:3" ht="15">
      <c r="A460" s="77" t="s">
        <v>238</v>
      </c>
      <c r="B460" s="76" t="s">
        <v>3023</v>
      </c>
      <c r="C460" s="80" t="s">
        <v>957</v>
      </c>
    </row>
    <row r="461" spans="1:3" ht="15">
      <c r="A461" s="77" t="s">
        <v>238</v>
      </c>
      <c r="B461" s="76" t="s">
        <v>3024</v>
      </c>
      <c r="C461" s="80" t="s">
        <v>957</v>
      </c>
    </row>
    <row r="462" spans="1:3" ht="15">
      <c r="A462" s="77" t="s">
        <v>238</v>
      </c>
      <c r="B462" s="76" t="s">
        <v>3025</v>
      </c>
      <c r="C462" s="80" t="s">
        <v>957</v>
      </c>
    </row>
    <row r="463" spans="1:3" ht="15">
      <c r="A463" s="77" t="s">
        <v>238</v>
      </c>
      <c r="B463" s="76" t="s">
        <v>3026</v>
      </c>
      <c r="C463" s="80" t="s">
        <v>957</v>
      </c>
    </row>
    <row r="464" spans="1:3" ht="15">
      <c r="A464" s="77" t="s">
        <v>238</v>
      </c>
      <c r="B464" s="76" t="s">
        <v>3027</v>
      </c>
      <c r="C464" s="80" t="s">
        <v>957</v>
      </c>
    </row>
    <row r="465" spans="1:3" ht="15">
      <c r="A465" s="77" t="s">
        <v>238</v>
      </c>
      <c r="B465" s="76" t="s">
        <v>3028</v>
      </c>
      <c r="C465" s="80" t="s">
        <v>957</v>
      </c>
    </row>
    <row r="466" spans="1:3" ht="15">
      <c r="A466" s="77" t="s">
        <v>238</v>
      </c>
      <c r="B466" s="76" t="s">
        <v>3029</v>
      </c>
      <c r="C466" s="80" t="s">
        <v>957</v>
      </c>
    </row>
    <row r="467" spans="1:3" ht="15">
      <c r="A467" s="77" t="s">
        <v>238</v>
      </c>
      <c r="B467" s="76" t="s">
        <v>3030</v>
      </c>
      <c r="C467" s="80" t="s">
        <v>957</v>
      </c>
    </row>
    <row r="468" spans="1:3" ht="15">
      <c r="A468" s="77" t="s">
        <v>238</v>
      </c>
      <c r="B468" s="76" t="s">
        <v>3031</v>
      </c>
      <c r="C468" s="80" t="s">
        <v>957</v>
      </c>
    </row>
    <row r="469" spans="1:3" ht="15">
      <c r="A469" s="77" t="s">
        <v>238</v>
      </c>
      <c r="B469" s="76" t="s">
        <v>3032</v>
      </c>
      <c r="C469" s="80" t="s">
        <v>957</v>
      </c>
    </row>
    <row r="470" spans="1:3" ht="15">
      <c r="A470" s="77" t="s">
        <v>238</v>
      </c>
      <c r="B470" s="76" t="s">
        <v>3033</v>
      </c>
      <c r="C470" s="80" t="s">
        <v>957</v>
      </c>
    </row>
    <row r="471" spans="1:3" ht="15">
      <c r="A471" s="77" t="s">
        <v>238</v>
      </c>
      <c r="B471" s="76" t="s">
        <v>3034</v>
      </c>
      <c r="C471" s="80" t="s">
        <v>957</v>
      </c>
    </row>
    <row r="472" spans="1:3" ht="15">
      <c r="A472" s="77" t="s">
        <v>238</v>
      </c>
      <c r="B472" s="76" t="s">
        <v>2438</v>
      </c>
      <c r="C472" s="80" t="s">
        <v>957</v>
      </c>
    </row>
    <row r="473" spans="1:3" ht="15">
      <c r="A473" s="77" t="s">
        <v>238</v>
      </c>
      <c r="B473" s="76" t="s">
        <v>2439</v>
      </c>
      <c r="C473" s="80" t="s">
        <v>957</v>
      </c>
    </row>
    <row r="474" spans="1:3" ht="15">
      <c r="A474" s="77" t="s">
        <v>238</v>
      </c>
      <c r="B474" s="76" t="b">
        <v>1</v>
      </c>
      <c r="C474" s="80" t="s">
        <v>957</v>
      </c>
    </row>
    <row r="475" spans="1:3" ht="15">
      <c r="A475" s="77" t="s">
        <v>238</v>
      </c>
      <c r="B475" s="76" t="s">
        <v>3035</v>
      </c>
      <c r="C475" s="80" t="s">
        <v>957</v>
      </c>
    </row>
    <row r="476" spans="1:3" ht="15">
      <c r="A476" s="77" t="s">
        <v>327</v>
      </c>
      <c r="B476" s="76" t="s">
        <v>2599</v>
      </c>
      <c r="C476" s="80" t="s">
        <v>1067</v>
      </c>
    </row>
    <row r="477" spans="1:3" ht="15">
      <c r="A477" s="77" t="s">
        <v>327</v>
      </c>
      <c r="B477" s="76" t="s">
        <v>2585</v>
      </c>
      <c r="C477" s="80" t="s">
        <v>1067</v>
      </c>
    </row>
    <row r="478" spans="1:3" ht="15">
      <c r="A478" s="77" t="s">
        <v>327</v>
      </c>
      <c r="B478" s="76" t="s">
        <v>2703</v>
      </c>
      <c r="C478" s="80" t="s">
        <v>1067</v>
      </c>
    </row>
    <row r="479" spans="1:3" ht="15">
      <c r="A479" s="77" t="s">
        <v>327</v>
      </c>
      <c r="B479" s="76" t="s">
        <v>2445</v>
      </c>
      <c r="C479" s="80" t="s">
        <v>1067</v>
      </c>
    </row>
    <row r="480" spans="1:3" ht="15">
      <c r="A480" s="77" t="s">
        <v>327</v>
      </c>
      <c r="B480" s="76">
        <v>0</v>
      </c>
      <c r="C480" s="80" t="s">
        <v>1067</v>
      </c>
    </row>
    <row r="481" spans="1:3" ht="15">
      <c r="A481" s="77" t="s">
        <v>327</v>
      </c>
      <c r="B481" s="76">
        <v>25</v>
      </c>
      <c r="C481" s="80" t="s">
        <v>1067</v>
      </c>
    </row>
    <row r="482" spans="1:3" ht="15">
      <c r="A482" s="77" t="s">
        <v>327</v>
      </c>
      <c r="B482" s="76" t="s">
        <v>2496</v>
      </c>
      <c r="C482" s="80" t="s">
        <v>1067</v>
      </c>
    </row>
    <row r="483" spans="1:3" ht="15">
      <c r="A483" s="77" t="s">
        <v>327</v>
      </c>
      <c r="B483" s="76" t="s">
        <v>2441</v>
      </c>
      <c r="C483" s="80" t="s">
        <v>1067</v>
      </c>
    </row>
    <row r="484" spans="1:3" ht="15">
      <c r="A484" s="77" t="s">
        <v>327</v>
      </c>
      <c r="B484" s="76" t="s">
        <v>2438</v>
      </c>
      <c r="C484" s="80" t="s">
        <v>1067</v>
      </c>
    </row>
    <row r="485" spans="1:3" ht="15">
      <c r="A485" s="77" t="s">
        <v>327</v>
      </c>
      <c r="B485" s="76" t="s">
        <v>2439</v>
      </c>
      <c r="C485" s="80" t="s">
        <v>1067</v>
      </c>
    </row>
    <row r="486" spans="1:3" ht="15">
      <c r="A486" s="77" t="s">
        <v>327</v>
      </c>
      <c r="B486" s="76" t="s">
        <v>2481</v>
      </c>
      <c r="C486" s="80" t="s">
        <v>1067</v>
      </c>
    </row>
    <row r="487" spans="1:3" ht="15">
      <c r="A487" s="77" t="s">
        <v>246</v>
      </c>
      <c r="B487" s="76" t="s">
        <v>2440</v>
      </c>
      <c r="C487" s="80" t="s">
        <v>967</v>
      </c>
    </row>
    <row r="488" spans="1:3" ht="15">
      <c r="A488" s="77" t="s">
        <v>246</v>
      </c>
      <c r="B488" s="76" t="s">
        <v>3036</v>
      </c>
      <c r="C488" s="80" t="s">
        <v>967</v>
      </c>
    </row>
    <row r="489" spans="1:3" ht="15">
      <c r="A489" s="77" t="s">
        <v>246</v>
      </c>
      <c r="B489" s="76" t="s">
        <v>3037</v>
      </c>
      <c r="C489" s="80" t="s">
        <v>967</v>
      </c>
    </row>
    <row r="490" spans="1:3" ht="15">
      <c r="A490" s="77" t="s">
        <v>246</v>
      </c>
      <c r="B490" s="76" t="s">
        <v>2494</v>
      </c>
      <c r="C490" s="80" t="s">
        <v>967</v>
      </c>
    </row>
    <row r="491" spans="1:3" ht="15">
      <c r="A491" s="77" t="s">
        <v>246</v>
      </c>
      <c r="B491" s="76" t="s">
        <v>3038</v>
      </c>
      <c r="C491" s="80" t="s">
        <v>967</v>
      </c>
    </row>
    <row r="492" spans="1:3" ht="15">
      <c r="A492" s="77" t="s">
        <v>246</v>
      </c>
      <c r="B492" s="76" t="s">
        <v>2611</v>
      </c>
      <c r="C492" s="80" t="s">
        <v>967</v>
      </c>
    </row>
    <row r="493" spans="1:3" ht="15">
      <c r="A493" s="77" t="s">
        <v>246</v>
      </c>
      <c r="B493" s="76" t="s">
        <v>2792</v>
      </c>
      <c r="C493" s="80" t="s">
        <v>967</v>
      </c>
    </row>
    <row r="494" spans="1:3" ht="15">
      <c r="A494" s="77" t="s">
        <v>246</v>
      </c>
      <c r="B494" s="76" t="s">
        <v>2489</v>
      </c>
      <c r="C494" s="80" t="s">
        <v>967</v>
      </c>
    </row>
    <row r="495" spans="1:3" ht="15">
      <c r="A495" s="77" t="s">
        <v>246</v>
      </c>
      <c r="B495" s="76" t="s">
        <v>2438</v>
      </c>
      <c r="C495" s="80" t="s">
        <v>967</v>
      </c>
    </row>
    <row r="496" spans="1:3" ht="15">
      <c r="A496" s="77" t="s">
        <v>246</v>
      </c>
      <c r="B496" s="76" t="s">
        <v>2448</v>
      </c>
      <c r="C496" s="80" t="s">
        <v>967</v>
      </c>
    </row>
    <row r="497" spans="1:3" ht="15">
      <c r="A497" s="77" t="s">
        <v>246</v>
      </c>
      <c r="B497" s="76" t="s">
        <v>350</v>
      </c>
      <c r="C497" s="80" t="s">
        <v>967</v>
      </c>
    </row>
    <row r="498" spans="1:3" ht="15">
      <c r="A498" s="77" t="s">
        <v>246</v>
      </c>
      <c r="B498" s="76" t="s">
        <v>298</v>
      </c>
      <c r="C498" s="80" t="s">
        <v>967</v>
      </c>
    </row>
    <row r="499" spans="1:3" ht="15">
      <c r="A499" s="77" t="s">
        <v>246</v>
      </c>
      <c r="B499" s="76" t="s">
        <v>363</v>
      </c>
      <c r="C499" s="80" t="s">
        <v>967</v>
      </c>
    </row>
    <row r="500" spans="1:3" ht="15">
      <c r="A500" s="77" t="s">
        <v>324</v>
      </c>
      <c r="B500" s="76" t="s">
        <v>3039</v>
      </c>
      <c r="C500" s="80" t="s">
        <v>1062</v>
      </c>
    </row>
    <row r="501" spans="1:3" ht="15">
      <c r="A501" s="77" t="s">
        <v>324</v>
      </c>
      <c r="B501" s="76" t="s">
        <v>3040</v>
      </c>
      <c r="C501" s="80" t="s">
        <v>1062</v>
      </c>
    </row>
    <row r="502" spans="1:3" ht="15">
      <c r="A502" s="77" t="s">
        <v>324</v>
      </c>
      <c r="B502" s="76" t="s">
        <v>3041</v>
      </c>
      <c r="C502" s="80" t="s">
        <v>1062</v>
      </c>
    </row>
    <row r="503" spans="1:3" ht="15">
      <c r="A503" s="77" t="s">
        <v>324</v>
      </c>
      <c r="B503" s="76" t="s">
        <v>2724</v>
      </c>
      <c r="C503" s="80" t="s">
        <v>1062</v>
      </c>
    </row>
    <row r="504" spans="1:3" ht="15">
      <c r="A504" s="77" t="s">
        <v>324</v>
      </c>
      <c r="B504" s="76" t="s">
        <v>3042</v>
      </c>
      <c r="C504" s="80" t="s">
        <v>1062</v>
      </c>
    </row>
    <row r="505" spans="1:3" ht="15">
      <c r="A505" s="77" t="s">
        <v>324</v>
      </c>
      <c r="B505" s="76" t="s">
        <v>2518</v>
      </c>
      <c r="C505" s="80" t="s">
        <v>1062</v>
      </c>
    </row>
    <row r="506" spans="1:3" ht="15">
      <c r="A506" s="77" t="s">
        <v>324</v>
      </c>
      <c r="B506" s="76" t="s">
        <v>3043</v>
      </c>
      <c r="C506" s="80" t="s">
        <v>1062</v>
      </c>
    </row>
    <row r="507" spans="1:3" ht="15">
      <c r="A507" s="77" t="s">
        <v>324</v>
      </c>
      <c r="B507" s="76" t="s">
        <v>2486</v>
      </c>
      <c r="C507" s="80" t="s">
        <v>1062</v>
      </c>
    </row>
    <row r="508" spans="1:3" ht="15">
      <c r="A508" s="77" t="s">
        <v>324</v>
      </c>
      <c r="B508" s="76" t="s">
        <v>3044</v>
      </c>
      <c r="C508" s="80" t="s">
        <v>1062</v>
      </c>
    </row>
    <row r="509" spans="1:3" ht="15">
      <c r="A509" s="77" t="s">
        <v>324</v>
      </c>
      <c r="B509" s="76" t="s">
        <v>3045</v>
      </c>
      <c r="C509" s="80" t="s">
        <v>1062</v>
      </c>
    </row>
    <row r="510" spans="1:3" ht="15">
      <c r="A510" s="77" t="s">
        <v>324</v>
      </c>
      <c r="B510" s="76" t="s">
        <v>3046</v>
      </c>
      <c r="C510" s="80" t="s">
        <v>1062</v>
      </c>
    </row>
    <row r="511" spans="1:3" ht="15">
      <c r="A511" s="77" t="s">
        <v>324</v>
      </c>
      <c r="B511" s="76" t="s">
        <v>3047</v>
      </c>
      <c r="C511" s="80" t="s">
        <v>1062</v>
      </c>
    </row>
    <row r="512" spans="1:3" ht="15">
      <c r="A512" s="77" t="s">
        <v>324</v>
      </c>
      <c r="B512" s="76" t="s">
        <v>3048</v>
      </c>
      <c r="C512" s="80" t="s">
        <v>1062</v>
      </c>
    </row>
    <row r="513" spans="1:3" ht="15">
      <c r="A513" s="77" t="s">
        <v>324</v>
      </c>
      <c r="B513" s="76" t="s">
        <v>2438</v>
      </c>
      <c r="C513" s="80" t="s">
        <v>1062</v>
      </c>
    </row>
    <row r="514" spans="1:3" ht="15">
      <c r="A514" s="77" t="s">
        <v>324</v>
      </c>
      <c r="B514" s="76" t="s">
        <v>2453</v>
      </c>
      <c r="C514" s="80" t="s">
        <v>1062</v>
      </c>
    </row>
    <row r="515" spans="1:3" ht="15">
      <c r="A515" s="77" t="s">
        <v>324</v>
      </c>
      <c r="B515" s="76" t="s">
        <v>3049</v>
      </c>
      <c r="C515" s="80" t="s">
        <v>1062</v>
      </c>
    </row>
    <row r="516" spans="1:3" ht="15">
      <c r="A516" s="77" t="s">
        <v>324</v>
      </c>
      <c r="B516" s="76" t="s">
        <v>3050</v>
      </c>
      <c r="C516" s="80" t="s">
        <v>1062</v>
      </c>
    </row>
    <row r="517" spans="1:3" ht="15">
      <c r="A517" s="77" t="s">
        <v>324</v>
      </c>
      <c r="B517" s="76" t="s">
        <v>3051</v>
      </c>
      <c r="C517" s="80" t="s">
        <v>1062</v>
      </c>
    </row>
    <row r="518" spans="1:3" ht="15">
      <c r="A518" s="77" t="s">
        <v>324</v>
      </c>
      <c r="B518" s="76" t="s">
        <v>2772</v>
      </c>
      <c r="C518" s="80" t="s">
        <v>1062</v>
      </c>
    </row>
    <row r="519" spans="1:3" ht="15">
      <c r="A519" s="77" t="s">
        <v>324</v>
      </c>
      <c r="B519" s="76" t="s">
        <v>2454</v>
      </c>
      <c r="C519" s="80" t="s">
        <v>1062</v>
      </c>
    </row>
    <row r="520" spans="1:3" ht="15">
      <c r="A520" s="77" t="s">
        <v>324</v>
      </c>
      <c r="B520" s="76" t="s">
        <v>2459</v>
      </c>
      <c r="C520" s="80" t="s">
        <v>1062</v>
      </c>
    </row>
    <row r="521" spans="1:3" ht="15">
      <c r="A521" s="77" t="s">
        <v>324</v>
      </c>
      <c r="B521" s="76" t="s">
        <v>2785</v>
      </c>
      <c r="C521" s="80" t="s">
        <v>1062</v>
      </c>
    </row>
    <row r="522" spans="1:3" ht="15">
      <c r="A522" s="77" t="s">
        <v>324</v>
      </c>
      <c r="B522" s="76" t="s">
        <v>427</v>
      </c>
      <c r="C522" s="80" t="s">
        <v>1062</v>
      </c>
    </row>
    <row r="523" spans="1:3" ht="15">
      <c r="A523" s="77" t="s">
        <v>246</v>
      </c>
      <c r="B523" s="76" t="s">
        <v>2444</v>
      </c>
      <c r="C523" s="80" t="s">
        <v>966</v>
      </c>
    </row>
    <row r="524" spans="1:3" ht="15">
      <c r="A524" s="77" t="s">
        <v>246</v>
      </c>
      <c r="B524" s="76" t="s">
        <v>3052</v>
      </c>
      <c r="C524" s="80" t="s">
        <v>966</v>
      </c>
    </row>
    <row r="525" spans="1:3" ht="15">
      <c r="A525" s="77" t="s">
        <v>246</v>
      </c>
      <c r="B525" s="76" t="s">
        <v>2440</v>
      </c>
      <c r="C525" s="80" t="s">
        <v>966</v>
      </c>
    </row>
    <row r="526" spans="1:3" ht="15">
      <c r="A526" s="77" t="s">
        <v>246</v>
      </c>
      <c r="B526" s="76" t="s">
        <v>3053</v>
      </c>
      <c r="C526" s="80" t="s">
        <v>966</v>
      </c>
    </row>
    <row r="527" spans="1:3" ht="15">
      <c r="A527" s="77" t="s">
        <v>246</v>
      </c>
      <c r="B527" s="76" t="s">
        <v>3054</v>
      </c>
      <c r="C527" s="80" t="s">
        <v>966</v>
      </c>
    </row>
    <row r="528" spans="1:3" ht="15">
      <c r="A528" s="77" t="s">
        <v>246</v>
      </c>
      <c r="B528" s="76" t="s">
        <v>2438</v>
      </c>
      <c r="C528" s="80" t="s">
        <v>966</v>
      </c>
    </row>
    <row r="529" spans="1:3" ht="15">
      <c r="A529" s="77" t="s">
        <v>246</v>
      </c>
      <c r="B529" s="76" t="s">
        <v>2459</v>
      </c>
      <c r="C529" s="80" t="s">
        <v>966</v>
      </c>
    </row>
    <row r="530" spans="1:3" ht="15">
      <c r="A530" s="77" t="s">
        <v>246</v>
      </c>
      <c r="B530" s="76" t="s">
        <v>3055</v>
      </c>
      <c r="C530" s="80" t="s">
        <v>966</v>
      </c>
    </row>
    <row r="531" spans="1:3" ht="15">
      <c r="A531" s="77" t="s">
        <v>246</v>
      </c>
      <c r="B531" s="76" t="s">
        <v>3056</v>
      </c>
      <c r="C531" s="80" t="s">
        <v>966</v>
      </c>
    </row>
    <row r="532" spans="1:3" ht="15">
      <c r="A532" s="77" t="s">
        <v>246</v>
      </c>
      <c r="B532" s="76" t="s">
        <v>3057</v>
      </c>
      <c r="C532" s="80" t="s">
        <v>966</v>
      </c>
    </row>
    <row r="533" spans="1:3" ht="15">
      <c r="A533" s="77" t="s">
        <v>246</v>
      </c>
      <c r="B533" s="76" t="s">
        <v>2792</v>
      </c>
      <c r="C533" s="80" t="s">
        <v>966</v>
      </c>
    </row>
    <row r="534" spans="1:3" ht="15">
      <c r="A534" s="77" t="s">
        <v>246</v>
      </c>
      <c r="B534" s="76" t="s">
        <v>3058</v>
      </c>
      <c r="C534" s="80" t="s">
        <v>966</v>
      </c>
    </row>
    <row r="535" spans="1:3" ht="15">
      <c r="A535" s="77" t="s">
        <v>246</v>
      </c>
      <c r="B535" s="76" t="s">
        <v>2525</v>
      </c>
      <c r="C535" s="80" t="s">
        <v>966</v>
      </c>
    </row>
    <row r="536" spans="1:3" ht="15">
      <c r="A536" s="77" t="s">
        <v>246</v>
      </c>
      <c r="B536" s="76" t="s">
        <v>2489</v>
      </c>
      <c r="C536" s="80" t="s">
        <v>966</v>
      </c>
    </row>
    <row r="537" spans="1:3" ht="15">
      <c r="A537" s="77" t="s">
        <v>246</v>
      </c>
      <c r="B537" s="76" t="s">
        <v>2499</v>
      </c>
      <c r="C537" s="80" t="s">
        <v>966</v>
      </c>
    </row>
    <row r="538" spans="1:3" ht="15">
      <c r="A538" s="77" t="s">
        <v>246</v>
      </c>
      <c r="B538" s="76" t="s">
        <v>3059</v>
      </c>
      <c r="C538" s="80" t="s">
        <v>966</v>
      </c>
    </row>
    <row r="539" spans="1:3" ht="15">
      <c r="A539" s="77" t="s">
        <v>246</v>
      </c>
      <c r="B539" s="76" t="s">
        <v>3060</v>
      </c>
      <c r="C539" s="80" t="s">
        <v>966</v>
      </c>
    </row>
    <row r="540" spans="1:3" ht="15">
      <c r="A540" s="77" t="s">
        <v>246</v>
      </c>
      <c r="B540" s="76" t="s">
        <v>350</v>
      </c>
      <c r="C540" s="80" t="s">
        <v>966</v>
      </c>
    </row>
    <row r="541" spans="1:3" ht="15">
      <c r="A541" s="77" t="s">
        <v>246</v>
      </c>
      <c r="B541" s="76" t="s">
        <v>298</v>
      </c>
      <c r="C541" s="80" t="s">
        <v>966</v>
      </c>
    </row>
    <row r="542" spans="1:3" ht="15">
      <c r="A542" s="77" t="s">
        <v>246</v>
      </c>
      <c r="B542" s="76" t="s">
        <v>363</v>
      </c>
      <c r="C542" s="80" t="s">
        <v>966</v>
      </c>
    </row>
    <row r="543" spans="1:3" ht="15">
      <c r="A543" s="77" t="s">
        <v>269</v>
      </c>
      <c r="B543" s="76" t="s">
        <v>3061</v>
      </c>
      <c r="C543" s="80" t="s">
        <v>990</v>
      </c>
    </row>
    <row r="544" spans="1:3" ht="15">
      <c r="A544" s="77" t="s">
        <v>269</v>
      </c>
      <c r="B544" s="76" t="s">
        <v>3062</v>
      </c>
      <c r="C544" s="80" t="s">
        <v>990</v>
      </c>
    </row>
    <row r="545" spans="1:3" ht="15">
      <c r="A545" s="77" t="s">
        <v>269</v>
      </c>
      <c r="B545" s="76" t="s">
        <v>3063</v>
      </c>
      <c r="C545" s="80" t="s">
        <v>990</v>
      </c>
    </row>
    <row r="546" spans="1:3" ht="15">
      <c r="A546" s="77" t="s">
        <v>269</v>
      </c>
      <c r="B546" s="76" t="s">
        <v>2661</v>
      </c>
      <c r="C546" s="80" t="s">
        <v>990</v>
      </c>
    </row>
    <row r="547" spans="1:3" ht="15">
      <c r="A547" s="77" t="s">
        <v>269</v>
      </c>
      <c r="B547" s="76" t="s">
        <v>3064</v>
      </c>
      <c r="C547" s="80" t="s">
        <v>990</v>
      </c>
    </row>
    <row r="548" spans="1:3" ht="15">
      <c r="A548" s="77" t="s">
        <v>269</v>
      </c>
      <c r="B548" s="76" t="s">
        <v>2438</v>
      </c>
      <c r="C548" s="80" t="s">
        <v>990</v>
      </c>
    </row>
    <row r="549" spans="1:3" ht="15">
      <c r="A549" s="77" t="s">
        <v>269</v>
      </c>
      <c r="B549" s="76" t="s">
        <v>2447</v>
      </c>
      <c r="C549" s="80" t="s">
        <v>990</v>
      </c>
    </row>
    <row r="550" spans="1:3" ht="15">
      <c r="A550" s="77" t="s">
        <v>269</v>
      </c>
      <c r="B550" s="76" t="s">
        <v>2483</v>
      </c>
      <c r="C550" s="80" t="s">
        <v>990</v>
      </c>
    </row>
    <row r="551" spans="1:3" ht="15">
      <c r="A551" s="77" t="s">
        <v>269</v>
      </c>
      <c r="B551" s="76" t="s">
        <v>3065</v>
      </c>
      <c r="C551" s="80" t="s">
        <v>990</v>
      </c>
    </row>
    <row r="552" spans="1:3" ht="15">
      <c r="A552" s="77" t="s">
        <v>269</v>
      </c>
      <c r="B552" s="76" t="s">
        <v>2458</v>
      </c>
      <c r="C552" s="80" t="s">
        <v>990</v>
      </c>
    </row>
    <row r="553" spans="1:3" ht="15">
      <c r="A553" s="77" t="s">
        <v>269</v>
      </c>
      <c r="B553" s="76" t="s">
        <v>3066</v>
      </c>
      <c r="C553" s="80" t="s">
        <v>990</v>
      </c>
    </row>
    <row r="554" spans="1:3" ht="15">
      <c r="A554" s="77" t="s">
        <v>269</v>
      </c>
      <c r="B554" s="76" t="s">
        <v>3067</v>
      </c>
      <c r="C554" s="80" t="s">
        <v>990</v>
      </c>
    </row>
    <row r="555" spans="1:3" ht="15">
      <c r="A555" s="77" t="s">
        <v>269</v>
      </c>
      <c r="B555" s="76" t="s">
        <v>3068</v>
      </c>
      <c r="C555" s="80" t="s">
        <v>990</v>
      </c>
    </row>
    <row r="556" spans="1:3" ht="15">
      <c r="A556" s="77" t="s">
        <v>269</v>
      </c>
      <c r="B556" s="76" t="s">
        <v>3069</v>
      </c>
      <c r="C556" s="80" t="s">
        <v>990</v>
      </c>
    </row>
    <row r="557" spans="1:3" ht="15">
      <c r="A557" s="77" t="s">
        <v>300</v>
      </c>
      <c r="B557" s="76" t="s">
        <v>2581</v>
      </c>
      <c r="C557" s="80" t="s">
        <v>1025</v>
      </c>
    </row>
    <row r="558" spans="1:3" ht="15">
      <c r="A558" s="77" t="s">
        <v>300</v>
      </c>
      <c r="B558" s="76" t="s">
        <v>3070</v>
      </c>
      <c r="C558" s="80" t="s">
        <v>1025</v>
      </c>
    </row>
    <row r="559" spans="1:3" ht="15">
      <c r="A559" s="77" t="s">
        <v>300</v>
      </c>
      <c r="B559" s="76" t="s">
        <v>2624</v>
      </c>
      <c r="C559" s="80" t="s">
        <v>1025</v>
      </c>
    </row>
    <row r="560" spans="1:3" ht="15">
      <c r="A560" s="77" t="s">
        <v>300</v>
      </c>
      <c r="B560" s="76" t="s">
        <v>3071</v>
      </c>
      <c r="C560" s="80" t="s">
        <v>1025</v>
      </c>
    </row>
    <row r="561" spans="1:3" ht="15">
      <c r="A561" s="77" t="s">
        <v>300</v>
      </c>
      <c r="B561" s="76" t="s">
        <v>3072</v>
      </c>
      <c r="C561" s="80" t="s">
        <v>1025</v>
      </c>
    </row>
    <row r="562" spans="1:3" ht="15">
      <c r="A562" s="77" t="s">
        <v>300</v>
      </c>
      <c r="B562" s="76" t="s">
        <v>3073</v>
      </c>
      <c r="C562" s="80" t="s">
        <v>1025</v>
      </c>
    </row>
    <row r="563" spans="1:3" ht="15">
      <c r="A563" s="77" t="s">
        <v>300</v>
      </c>
      <c r="B563" s="76" t="s">
        <v>2438</v>
      </c>
      <c r="C563" s="80" t="s">
        <v>1025</v>
      </c>
    </row>
    <row r="564" spans="1:3" ht="15">
      <c r="A564" s="77" t="s">
        <v>300</v>
      </c>
      <c r="B564" s="76" t="s">
        <v>3074</v>
      </c>
      <c r="C564" s="80" t="s">
        <v>1025</v>
      </c>
    </row>
    <row r="565" spans="1:3" ht="15">
      <c r="A565" s="77" t="s">
        <v>300</v>
      </c>
      <c r="B565" s="76" t="s">
        <v>592</v>
      </c>
      <c r="C565" s="80" t="s">
        <v>1025</v>
      </c>
    </row>
    <row r="566" spans="1:3" ht="15">
      <c r="A566" s="77" t="s">
        <v>300</v>
      </c>
      <c r="B566" s="76" t="s">
        <v>2788</v>
      </c>
      <c r="C566" s="80" t="s">
        <v>1025</v>
      </c>
    </row>
    <row r="567" spans="1:3" ht="15">
      <c r="A567" s="77" t="s">
        <v>310</v>
      </c>
      <c r="B567" s="76" t="s">
        <v>3075</v>
      </c>
      <c r="C567" s="80" t="s">
        <v>1041</v>
      </c>
    </row>
    <row r="568" spans="1:3" ht="15">
      <c r="A568" s="77" t="s">
        <v>310</v>
      </c>
      <c r="B568" s="76" t="s">
        <v>2440</v>
      </c>
      <c r="C568" s="80" t="s">
        <v>1041</v>
      </c>
    </row>
    <row r="569" spans="1:3" ht="15">
      <c r="A569" s="77" t="s">
        <v>310</v>
      </c>
      <c r="B569" s="76">
        <v>0</v>
      </c>
      <c r="C569" s="80" t="s">
        <v>1041</v>
      </c>
    </row>
    <row r="570" spans="1:3" ht="15">
      <c r="A570" s="77" t="s">
        <v>310</v>
      </c>
      <c r="B570" s="76" t="s">
        <v>2446</v>
      </c>
      <c r="C570" s="80" t="s">
        <v>1041</v>
      </c>
    </row>
    <row r="571" spans="1:3" ht="15">
      <c r="A571" s="77" t="s">
        <v>310</v>
      </c>
      <c r="B571" s="76" t="s">
        <v>2560</v>
      </c>
      <c r="C571" s="80" t="s">
        <v>1041</v>
      </c>
    </row>
    <row r="572" spans="1:3" ht="15">
      <c r="A572" s="77" t="s">
        <v>310</v>
      </c>
      <c r="B572" s="76" t="s">
        <v>3076</v>
      </c>
      <c r="C572" s="80" t="s">
        <v>1041</v>
      </c>
    </row>
    <row r="573" spans="1:3" ht="15">
      <c r="A573" s="77" t="s">
        <v>310</v>
      </c>
      <c r="B573" s="76" t="s">
        <v>3077</v>
      </c>
      <c r="C573" s="80" t="s">
        <v>1041</v>
      </c>
    </row>
    <row r="574" spans="1:3" ht="15">
      <c r="A574" s="77" t="s">
        <v>310</v>
      </c>
      <c r="B574" s="76" t="s">
        <v>3078</v>
      </c>
      <c r="C574" s="80" t="s">
        <v>1041</v>
      </c>
    </row>
    <row r="575" spans="1:3" ht="15">
      <c r="A575" s="77" t="s">
        <v>310</v>
      </c>
      <c r="B575" s="76" t="s">
        <v>3079</v>
      </c>
      <c r="C575" s="80" t="s">
        <v>1041</v>
      </c>
    </row>
    <row r="576" spans="1:3" ht="15">
      <c r="A576" s="77" t="s">
        <v>310</v>
      </c>
      <c r="B576" s="76" t="s">
        <v>3080</v>
      </c>
      <c r="C576" s="80" t="s">
        <v>1041</v>
      </c>
    </row>
    <row r="577" spans="1:3" ht="15">
      <c r="A577" s="77" t="s">
        <v>310</v>
      </c>
      <c r="B577" s="76" t="s">
        <v>3081</v>
      </c>
      <c r="C577" s="80" t="s">
        <v>1041</v>
      </c>
    </row>
    <row r="578" spans="1:3" ht="15">
      <c r="A578" s="77" t="s">
        <v>310</v>
      </c>
      <c r="B578" s="76" t="s">
        <v>2476</v>
      </c>
      <c r="C578" s="80" t="s">
        <v>1041</v>
      </c>
    </row>
    <row r="579" spans="1:3" ht="15">
      <c r="A579" s="77" t="s">
        <v>310</v>
      </c>
      <c r="B579" s="76" t="s">
        <v>2587</v>
      </c>
      <c r="C579" s="80" t="s">
        <v>1041</v>
      </c>
    </row>
    <row r="580" spans="1:3" ht="15">
      <c r="A580" s="77" t="s">
        <v>310</v>
      </c>
      <c r="B580" s="76" t="s">
        <v>3082</v>
      </c>
      <c r="C580" s="80" t="s">
        <v>1041</v>
      </c>
    </row>
    <row r="581" spans="1:3" ht="15">
      <c r="A581" s="77" t="s">
        <v>310</v>
      </c>
      <c r="B581" s="76" t="s">
        <v>2575</v>
      </c>
      <c r="C581" s="80" t="s">
        <v>1041</v>
      </c>
    </row>
    <row r="582" spans="1:3" ht="15">
      <c r="A582" s="77" t="s">
        <v>310</v>
      </c>
      <c r="B582" s="76" t="s">
        <v>3083</v>
      </c>
      <c r="C582" s="80" t="s">
        <v>1041</v>
      </c>
    </row>
    <row r="583" spans="1:3" ht="15">
      <c r="A583" s="77" t="s">
        <v>310</v>
      </c>
      <c r="B583" s="76" t="s">
        <v>3084</v>
      </c>
      <c r="C583" s="80" t="s">
        <v>1041</v>
      </c>
    </row>
    <row r="584" spans="1:3" ht="15">
      <c r="A584" s="77" t="s">
        <v>310</v>
      </c>
      <c r="B584" s="76" t="s">
        <v>2576</v>
      </c>
      <c r="C584" s="80" t="s">
        <v>1041</v>
      </c>
    </row>
    <row r="585" spans="1:3" ht="15">
      <c r="A585" s="77" t="s">
        <v>310</v>
      </c>
      <c r="B585" s="76" t="s">
        <v>2558</v>
      </c>
      <c r="C585" s="80" t="s">
        <v>1041</v>
      </c>
    </row>
    <row r="586" spans="1:3" ht="15">
      <c r="A586" s="77" t="s">
        <v>310</v>
      </c>
      <c r="B586" s="76">
        <v>700</v>
      </c>
      <c r="C586" s="80" t="s">
        <v>1041</v>
      </c>
    </row>
    <row r="587" spans="1:3" ht="15">
      <c r="A587" s="77" t="s">
        <v>310</v>
      </c>
      <c r="B587" s="76" t="s">
        <v>2557</v>
      </c>
      <c r="C587" s="80" t="s">
        <v>1041</v>
      </c>
    </row>
    <row r="588" spans="1:3" ht="15">
      <c r="A588" s="77" t="s">
        <v>310</v>
      </c>
      <c r="B588" s="76" t="s">
        <v>2438</v>
      </c>
      <c r="C588" s="80" t="s">
        <v>1041</v>
      </c>
    </row>
    <row r="589" spans="1:3" ht="15">
      <c r="A589" s="77" t="s">
        <v>310</v>
      </c>
      <c r="B589" s="76" t="s">
        <v>2439</v>
      </c>
      <c r="C589" s="80" t="s">
        <v>1041</v>
      </c>
    </row>
    <row r="590" spans="1:3" ht="15">
      <c r="A590" s="77" t="s">
        <v>310</v>
      </c>
      <c r="B590" s="76" t="s">
        <v>2784</v>
      </c>
      <c r="C590" s="80" t="s">
        <v>1041</v>
      </c>
    </row>
    <row r="591" spans="1:3" ht="15">
      <c r="A591" s="77" t="s">
        <v>310</v>
      </c>
      <c r="B591" s="76" t="s">
        <v>2456</v>
      </c>
      <c r="C591" s="80" t="s">
        <v>1041</v>
      </c>
    </row>
    <row r="592" spans="1:3" ht="15">
      <c r="A592" s="77" t="s">
        <v>310</v>
      </c>
      <c r="B592" s="76" t="s">
        <v>2461</v>
      </c>
      <c r="C592" s="80" t="s">
        <v>1041</v>
      </c>
    </row>
    <row r="593" spans="1:3" ht="15">
      <c r="A593" s="77" t="s">
        <v>310</v>
      </c>
      <c r="B593" s="76" t="s">
        <v>3085</v>
      </c>
      <c r="C593" s="80" t="s">
        <v>1041</v>
      </c>
    </row>
    <row r="594" spans="1:3" ht="15">
      <c r="A594" s="77" t="s">
        <v>310</v>
      </c>
      <c r="B594" s="76" t="s">
        <v>3086</v>
      </c>
      <c r="C594" s="80" t="s">
        <v>1041</v>
      </c>
    </row>
    <row r="595" spans="1:3" ht="15">
      <c r="A595" s="77" t="s">
        <v>335</v>
      </c>
      <c r="B595" s="76" t="s">
        <v>2468</v>
      </c>
      <c r="C595" s="80" t="s">
        <v>1075</v>
      </c>
    </row>
    <row r="596" spans="1:3" ht="15">
      <c r="A596" s="77" t="s">
        <v>335</v>
      </c>
      <c r="B596" s="76" t="s">
        <v>2469</v>
      </c>
      <c r="C596" s="80" t="s">
        <v>1075</v>
      </c>
    </row>
    <row r="597" spans="1:3" ht="15">
      <c r="A597" s="77" t="s">
        <v>335</v>
      </c>
      <c r="B597" s="76" t="s">
        <v>2445</v>
      </c>
      <c r="C597" s="80" t="s">
        <v>1075</v>
      </c>
    </row>
    <row r="598" spans="1:3" ht="15">
      <c r="A598" s="77" t="s">
        <v>335</v>
      </c>
      <c r="B598" s="76" t="s">
        <v>3087</v>
      </c>
      <c r="C598" s="80" t="s">
        <v>1075</v>
      </c>
    </row>
    <row r="599" spans="1:3" ht="15">
      <c r="A599" s="77" t="s">
        <v>335</v>
      </c>
      <c r="B599" s="76" t="s">
        <v>2755</v>
      </c>
      <c r="C599" s="80" t="s">
        <v>1075</v>
      </c>
    </row>
    <row r="600" spans="1:3" ht="15">
      <c r="A600" s="77" t="s">
        <v>335</v>
      </c>
      <c r="B600" s="76" t="s">
        <v>2441</v>
      </c>
      <c r="C600" s="80" t="s">
        <v>1075</v>
      </c>
    </row>
    <row r="601" spans="1:3" ht="15">
      <c r="A601" s="77" t="s">
        <v>335</v>
      </c>
      <c r="B601" s="76">
        <v>0</v>
      </c>
      <c r="C601" s="80" t="s">
        <v>1075</v>
      </c>
    </row>
    <row r="602" spans="1:3" ht="15">
      <c r="A602" s="77" t="s">
        <v>335</v>
      </c>
      <c r="B602" s="76">
        <v>25</v>
      </c>
      <c r="C602" s="80" t="s">
        <v>1075</v>
      </c>
    </row>
    <row r="603" spans="1:3" ht="15">
      <c r="A603" s="77" t="s">
        <v>335</v>
      </c>
      <c r="B603" s="76" t="s">
        <v>2774</v>
      </c>
      <c r="C603" s="80" t="s">
        <v>1075</v>
      </c>
    </row>
    <row r="604" spans="1:3" ht="15">
      <c r="A604" s="77" t="s">
        <v>335</v>
      </c>
      <c r="B604" s="76" t="s">
        <v>3088</v>
      </c>
      <c r="C604" s="80" t="s">
        <v>1075</v>
      </c>
    </row>
    <row r="605" spans="1:3" ht="15">
      <c r="A605" s="77" t="s">
        <v>335</v>
      </c>
      <c r="B605" s="76" t="s">
        <v>2438</v>
      </c>
      <c r="C605" s="80" t="s">
        <v>1075</v>
      </c>
    </row>
    <row r="606" spans="1:3" ht="15">
      <c r="A606" s="77" t="s">
        <v>335</v>
      </c>
      <c r="B606" s="76" t="s">
        <v>2439</v>
      </c>
      <c r="C606" s="80" t="s">
        <v>1075</v>
      </c>
    </row>
    <row r="607" spans="1:3" ht="15">
      <c r="A607" s="77" t="s">
        <v>335</v>
      </c>
      <c r="B607" s="76" t="s">
        <v>2481</v>
      </c>
      <c r="C607" s="80" t="s">
        <v>1075</v>
      </c>
    </row>
    <row r="608" spans="1:3" ht="15">
      <c r="A608" s="77" t="s">
        <v>247</v>
      </c>
      <c r="B608" s="76" t="s">
        <v>3089</v>
      </c>
      <c r="C608" s="80" t="s">
        <v>968</v>
      </c>
    </row>
    <row r="609" spans="1:3" ht="15">
      <c r="A609" s="77" t="s">
        <v>247</v>
      </c>
      <c r="B609" s="76" t="s">
        <v>3090</v>
      </c>
      <c r="C609" s="80" t="s">
        <v>968</v>
      </c>
    </row>
    <row r="610" spans="1:3" ht="15">
      <c r="A610" s="77" t="s">
        <v>247</v>
      </c>
      <c r="B610" s="76" t="s">
        <v>3091</v>
      </c>
      <c r="C610" s="80" t="s">
        <v>968</v>
      </c>
    </row>
    <row r="611" spans="1:3" ht="15">
      <c r="A611" s="77" t="s">
        <v>247</v>
      </c>
      <c r="B611" s="76" t="s">
        <v>2731</v>
      </c>
      <c r="C611" s="80" t="s">
        <v>968</v>
      </c>
    </row>
    <row r="612" spans="1:3" ht="15">
      <c r="A612" s="77" t="s">
        <v>247</v>
      </c>
      <c r="B612" s="76" t="s">
        <v>2486</v>
      </c>
      <c r="C612" s="80" t="s">
        <v>968</v>
      </c>
    </row>
    <row r="613" spans="1:3" ht="15">
      <c r="A613" s="77" t="s">
        <v>247</v>
      </c>
      <c r="B613" s="76" t="s">
        <v>3092</v>
      </c>
      <c r="C613" s="80" t="s">
        <v>968</v>
      </c>
    </row>
    <row r="614" spans="1:3" ht="15">
      <c r="A614" s="77" t="s">
        <v>247</v>
      </c>
      <c r="B614" s="76" t="s">
        <v>3093</v>
      </c>
      <c r="C614" s="80" t="s">
        <v>968</v>
      </c>
    </row>
    <row r="615" spans="1:3" ht="15">
      <c r="A615" s="77" t="s">
        <v>247</v>
      </c>
      <c r="B615" s="76" t="s">
        <v>2586</v>
      </c>
      <c r="C615" s="80" t="s">
        <v>968</v>
      </c>
    </row>
    <row r="616" spans="1:3" ht="15">
      <c r="A616" s="77" t="s">
        <v>247</v>
      </c>
      <c r="B616" s="76" t="s">
        <v>2438</v>
      </c>
      <c r="C616" s="80" t="s">
        <v>968</v>
      </c>
    </row>
    <row r="617" spans="1:3" ht="15">
      <c r="A617" s="77" t="s">
        <v>261</v>
      </c>
      <c r="B617" s="76" t="s">
        <v>3094</v>
      </c>
      <c r="C617" s="80" t="s">
        <v>982</v>
      </c>
    </row>
    <row r="618" spans="1:3" ht="15">
      <c r="A618" s="77" t="s">
        <v>261</v>
      </c>
      <c r="B618" s="76" t="s">
        <v>2739</v>
      </c>
      <c r="C618" s="80" t="s">
        <v>982</v>
      </c>
    </row>
    <row r="619" spans="1:3" ht="15">
      <c r="A619" s="77" t="s">
        <v>261</v>
      </c>
      <c r="B619" s="76" t="s">
        <v>2444</v>
      </c>
      <c r="C619" s="80" t="s">
        <v>982</v>
      </c>
    </row>
    <row r="620" spans="1:3" ht="15">
      <c r="A620" s="77" t="s">
        <v>261</v>
      </c>
      <c r="B620" s="76" t="s">
        <v>2683</v>
      </c>
      <c r="C620" s="80" t="s">
        <v>982</v>
      </c>
    </row>
    <row r="621" spans="1:3" ht="15">
      <c r="A621" s="77" t="s">
        <v>261</v>
      </c>
      <c r="B621" s="76" t="s">
        <v>2487</v>
      </c>
      <c r="C621" s="80" t="s">
        <v>982</v>
      </c>
    </row>
    <row r="622" spans="1:3" ht="15">
      <c r="A622" s="77" t="s">
        <v>261</v>
      </c>
      <c r="B622" s="76" t="s">
        <v>3095</v>
      </c>
      <c r="C622" s="80" t="s">
        <v>982</v>
      </c>
    </row>
    <row r="623" spans="1:3" ht="15">
      <c r="A623" s="77" t="s">
        <v>261</v>
      </c>
      <c r="B623" s="76" t="s">
        <v>3096</v>
      </c>
      <c r="C623" s="80" t="s">
        <v>982</v>
      </c>
    </row>
    <row r="624" spans="1:3" ht="15">
      <c r="A624" s="77" t="s">
        <v>261</v>
      </c>
      <c r="B624" s="76" t="s">
        <v>2457</v>
      </c>
      <c r="C624" s="80" t="s">
        <v>982</v>
      </c>
    </row>
    <row r="625" spans="1:3" ht="15">
      <c r="A625" s="77" t="s">
        <v>261</v>
      </c>
      <c r="B625" s="76" t="s">
        <v>3097</v>
      </c>
      <c r="C625" s="80" t="s">
        <v>982</v>
      </c>
    </row>
    <row r="626" spans="1:3" ht="15">
      <c r="A626" s="77" t="s">
        <v>261</v>
      </c>
      <c r="B626" s="76" t="s">
        <v>2735</v>
      </c>
      <c r="C626" s="80" t="s">
        <v>982</v>
      </c>
    </row>
    <row r="627" spans="1:3" ht="15">
      <c r="A627" s="77" t="s">
        <v>261</v>
      </c>
      <c r="B627" s="76" t="s">
        <v>2657</v>
      </c>
      <c r="C627" s="80" t="s">
        <v>982</v>
      </c>
    </row>
    <row r="628" spans="1:3" ht="15">
      <c r="A628" s="77" t="s">
        <v>261</v>
      </c>
      <c r="B628" s="76" t="s">
        <v>2625</v>
      </c>
      <c r="C628" s="80" t="s">
        <v>982</v>
      </c>
    </row>
    <row r="629" spans="1:3" ht="15">
      <c r="A629" s="77" t="s">
        <v>261</v>
      </c>
      <c r="B629" s="76" t="s">
        <v>3098</v>
      </c>
      <c r="C629" s="80" t="s">
        <v>982</v>
      </c>
    </row>
    <row r="630" spans="1:3" ht="15">
      <c r="A630" s="77" t="s">
        <v>261</v>
      </c>
      <c r="B630" s="76" t="s">
        <v>3099</v>
      </c>
      <c r="C630" s="80" t="s">
        <v>982</v>
      </c>
    </row>
    <row r="631" spans="1:3" ht="15">
      <c r="A631" s="77" t="s">
        <v>261</v>
      </c>
      <c r="B631" s="76" t="s">
        <v>3100</v>
      </c>
      <c r="C631" s="80" t="s">
        <v>982</v>
      </c>
    </row>
    <row r="632" spans="1:3" ht="15">
      <c r="A632" s="77" t="s">
        <v>261</v>
      </c>
      <c r="B632" s="76" t="s">
        <v>3101</v>
      </c>
      <c r="C632" s="80" t="s">
        <v>982</v>
      </c>
    </row>
    <row r="633" spans="1:3" ht="15">
      <c r="A633" s="77" t="s">
        <v>261</v>
      </c>
      <c r="B633" s="76" t="s">
        <v>3102</v>
      </c>
      <c r="C633" s="80" t="s">
        <v>982</v>
      </c>
    </row>
    <row r="634" spans="1:3" ht="15">
      <c r="A634" s="77" t="s">
        <v>261</v>
      </c>
      <c r="B634" s="76" t="s">
        <v>2640</v>
      </c>
      <c r="C634" s="80" t="s">
        <v>982</v>
      </c>
    </row>
    <row r="635" spans="1:3" ht="15">
      <c r="A635" s="77" t="s">
        <v>261</v>
      </c>
      <c r="B635" s="76" t="s">
        <v>2628</v>
      </c>
      <c r="C635" s="80" t="s">
        <v>982</v>
      </c>
    </row>
    <row r="636" spans="1:3" ht="15">
      <c r="A636" s="77" t="s">
        <v>261</v>
      </c>
      <c r="B636" s="76" t="s">
        <v>2470</v>
      </c>
      <c r="C636" s="80" t="s">
        <v>982</v>
      </c>
    </row>
    <row r="637" spans="1:3" ht="15">
      <c r="A637" s="77" t="s">
        <v>261</v>
      </c>
      <c r="B637" s="76" t="s">
        <v>2647</v>
      </c>
      <c r="C637" s="80" t="s">
        <v>982</v>
      </c>
    </row>
    <row r="638" spans="1:3" ht="15">
      <c r="A638" s="77" t="s">
        <v>261</v>
      </c>
      <c r="B638" s="76" t="s">
        <v>2438</v>
      </c>
      <c r="C638" s="80" t="s">
        <v>982</v>
      </c>
    </row>
    <row r="639" spans="1:3" ht="15">
      <c r="A639" s="77" t="s">
        <v>261</v>
      </c>
      <c r="B639" s="76" t="s">
        <v>2439</v>
      </c>
      <c r="C639" s="80" t="s">
        <v>982</v>
      </c>
    </row>
    <row r="640" spans="1:3" ht="15">
      <c r="A640" s="77" t="s">
        <v>261</v>
      </c>
      <c r="B640" s="76" t="s">
        <v>2655</v>
      </c>
      <c r="C640" s="80" t="s">
        <v>982</v>
      </c>
    </row>
    <row r="641" spans="1:3" ht="15">
      <c r="A641" s="77" t="s">
        <v>261</v>
      </c>
      <c r="B641" s="76">
        <v>67</v>
      </c>
      <c r="C641" s="80" t="s">
        <v>982</v>
      </c>
    </row>
    <row r="642" spans="1:3" ht="15">
      <c r="A642" s="77" t="s">
        <v>253</v>
      </c>
      <c r="B642" s="76" t="s">
        <v>3103</v>
      </c>
      <c r="C642" s="80" t="s">
        <v>974</v>
      </c>
    </row>
    <row r="643" spans="1:3" ht="15">
      <c r="A643" s="77" t="s">
        <v>253</v>
      </c>
      <c r="B643" s="76" t="s">
        <v>3104</v>
      </c>
      <c r="C643" s="80" t="s">
        <v>974</v>
      </c>
    </row>
    <row r="644" spans="1:3" ht="15">
      <c r="A644" s="77" t="s">
        <v>253</v>
      </c>
      <c r="B644" s="76">
        <v>2020</v>
      </c>
      <c r="C644" s="80" t="s">
        <v>974</v>
      </c>
    </row>
    <row r="645" spans="1:3" ht="15">
      <c r="A645" s="77" t="s">
        <v>253</v>
      </c>
      <c r="B645" s="76">
        <v>28</v>
      </c>
      <c r="C645" s="80" t="s">
        <v>974</v>
      </c>
    </row>
    <row r="646" spans="1:3" ht="15">
      <c r="A646" s="77" t="s">
        <v>253</v>
      </c>
      <c r="B646" s="76" t="s">
        <v>3105</v>
      </c>
      <c r="C646" s="80" t="s">
        <v>974</v>
      </c>
    </row>
    <row r="647" spans="1:3" ht="15">
      <c r="A647" s="77" t="s">
        <v>253</v>
      </c>
      <c r="B647" s="76" t="s">
        <v>3106</v>
      </c>
      <c r="C647" s="80" t="s">
        <v>974</v>
      </c>
    </row>
    <row r="648" spans="1:3" ht="15">
      <c r="A648" s="77" t="s">
        <v>253</v>
      </c>
      <c r="B648" s="76" t="s">
        <v>2438</v>
      </c>
      <c r="C648" s="80" t="s">
        <v>974</v>
      </c>
    </row>
    <row r="649" spans="1:3" ht="15">
      <c r="A649" s="77" t="s">
        <v>253</v>
      </c>
      <c r="B649" s="76" t="s">
        <v>2439</v>
      </c>
      <c r="C649" s="80" t="s">
        <v>974</v>
      </c>
    </row>
    <row r="650" spans="1:3" ht="15">
      <c r="A650" s="77" t="s">
        <v>253</v>
      </c>
      <c r="B650" s="76" t="s">
        <v>3107</v>
      </c>
      <c r="C650" s="80" t="s">
        <v>974</v>
      </c>
    </row>
    <row r="651" spans="1:3" ht="15">
      <c r="A651" s="77" t="s">
        <v>253</v>
      </c>
      <c r="B651" s="76" t="s">
        <v>3108</v>
      </c>
      <c r="C651" s="80" t="s">
        <v>974</v>
      </c>
    </row>
    <row r="652" spans="1:3" ht="15">
      <c r="A652" s="77" t="s">
        <v>253</v>
      </c>
      <c r="B652" s="76" t="s">
        <v>3109</v>
      </c>
      <c r="C652" s="80" t="s">
        <v>974</v>
      </c>
    </row>
    <row r="653" spans="1:3" ht="15">
      <c r="A653" s="77" t="s">
        <v>253</v>
      </c>
      <c r="B653" s="76" t="s">
        <v>3110</v>
      </c>
      <c r="C653" s="80" t="s">
        <v>974</v>
      </c>
    </row>
    <row r="654" spans="1:3" ht="15">
      <c r="A654" s="77" t="s">
        <v>253</v>
      </c>
      <c r="B654" s="76" t="s">
        <v>2553</v>
      </c>
      <c r="C654" s="80" t="s">
        <v>974</v>
      </c>
    </row>
    <row r="655" spans="1:3" ht="15">
      <c r="A655" s="77" t="s">
        <v>231</v>
      </c>
      <c r="B655" s="76" t="s">
        <v>3111</v>
      </c>
      <c r="C655" s="80" t="s">
        <v>949</v>
      </c>
    </row>
    <row r="656" spans="1:3" ht="15">
      <c r="A656" s="77" t="s">
        <v>231</v>
      </c>
      <c r="B656" s="76" t="s">
        <v>3112</v>
      </c>
      <c r="C656" s="80" t="s">
        <v>949</v>
      </c>
    </row>
    <row r="657" spans="1:3" ht="15">
      <c r="A657" s="77" t="s">
        <v>231</v>
      </c>
      <c r="B657" s="76" t="s">
        <v>3113</v>
      </c>
      <c r="C657" s="80" t="s">
        <v>949</v>
      </c>
    </row>
    <row r="658" spans="1:3" ht="15">
      <c r="A658" s="77" t="s">
        <v>231</v>
      </c>
      <c r="B658" s="76" t="s">
        <v>3114</v>
      </c>
      <c r="C658" s="80" t="s">
        <v>949</v>
      </c>
    </row>
    <row r="659" spans="1:3" ht="15">
      <c r="A659" s="77" t="s">
        <v>231</v>
      </c>
      <c r="B659" s="76" t="s">
        <v>3115</v>
      </c>
      <c r="C659" s="80" t="s">
        <v>949</v>
      </c>
    </row>
    <row r="660" spans="1:3" ht="15">
      <c r="A660" s="77" t="s">
        <v>231</v>
      </c>
      <c r="B660" s="76" t="s">
        <v>3116</v>
      </c>
      <c r="C660" s="80" t="s">
        <v>949</v>
      </c>
    </row>
    <row r="661" spans="1:3" ht="15">
      <c r="A661" s="77" t="s">
        <v>231</v>
      </c>
      <c r="B661" s="76" t="s">
        <v>3117</v>
      </c>
      <c r="C661" s="80" t="s">
        <v>949</v>
      </c>
    </row>
    <row r="662" spans="1:3" ht="15">
      <c r="A662" s="77" t="s">
        <v>231</v>
      </c>
      <c r="B662" s="76" t="s">
        <v>3118</v>
      </c>
      <c r="C662" s="80" t="s">
        <v>949</v>
      </c>
    </row>
    <row r="663" spans="1:3" ht="15">
      <c r="A663" s="77" t="s">
        <v>231</v>
      </c>
      <c r="B663" s="76" t="s">
        <v>2455</v>
      </c>
      <c r="C663" s="80" t="s">
        <v>949</v>
      </c>
    </row>
    <row r="664" spans="1:3" ht="15">
      <c r="A664" s="77" t="s">
        <v>231</v>
      </c>
      <c r="B664" s="76" t="s">
        <v>3119</v>
      </c>
      <c r="C664" s="80" t="s">
        <v>949</v>
      </c>
    </row>
    <row r="665" spans="1:3" ht="15">
      <c r="A665" s="77" t="s">
        <v>231</v>
      </c>
      <c r="B665" s="76" t="s">
        <v>3120</v>
      </c>
      <c r="C665" s="80" t="s">
        <v>949</v>
      </c>
    </row>
    <row r="666" spans="1:3" ht="15">
      <c r="A666" s="77" t="s">
        <v>231</v>
      </c>
      <c r="B666" s="76" t="s">
        <v>3121</v>
      </c>
      <c r="C666" s="80" t="s">
        <v>949</v>
      </c>
    </row>
    <row r="667" spans="1:3" ht="15">
      <c r="A667" s="77" t="s">
        <v>231</v>
      </c>
      <c r="B667" s="76" t="s">
        <v>2465</v>
      </c>
      <c r="C667" s="80" t="s">
        <v>949</v>
      </c>
    </row>
    <row r="668" spans="1:3" ht="15">
      <c r="A668" s="77" t="s">
        <v>231</v>
      </c>
      <c r="B668" s="76" t="s">
        <v>2438</v>
      </c>
      <c r="C668" s="80" t="s">
        <v>949</v>
      </c>
    </row>
    <row r="669" spans="1:3" ht="15">
      <c r="A669" s="77" t="s">
        <v>231</v>
      </c>
      <c r="B669" s="76" t="s">
        <v>2453</v>
      </c>
      <c r="C669" s="80" t="s">
        <v>949</v>
      </c>
    </row>
    <row r="670" spans="1:3" ht="15">
      <c r="A670" s="77" t="s">
        <v>231</v>
      </c>
      <c r="B670" s="76" t="s">
        <v>3122</v>
      </c>
      <c r="C670" s="80" t="s">
        <v>949</v>
      </c>
    </row>
    <row r="671" spans="1:3" ht="15">
      <c r="A671" s="77" t="s">
        <v>231</v>
      </c>
      <c r="B671" s="76" t="s">
        <v>2661</v>
      </c>
      <c r="C671" s="80" t="s">
        <v>949</v>
      </c>
    </row>
    <row r="672" spans="1:3" ht="15">
      <c r="A672" s="77" t="s">
        <v>231</v>
      </c>
      <c r="B672" s="76" t="s">
        <v>2467</v>
      </c>
      <c r="C672" s="80" t="s">
        <v>949</v>
      </c>
    </row>
    <row r="673" spans="1:3" ht="15">
      <c r="A673" s="77" t="s">
        <v>231</v>
      </c>
      <c r="B673" s="76" t="s">
        <v>2616</v>
      </c>
      <c r="C673" s="80" t="s">
        <v>949</v>
      </c>
    </row>
    <row r="674" spans="1:3" ht="15">
      <c r="A674" s="77" t="s">
        <v>231</v>
      </c>
      <c r="B674" s="76" t="s">
        <v>2603</v>
      </c>
      <c r="C674" s="80" t="s">
        <v>949</v>
      </c>
    </row>
    <row r="675" spans="1:3" ht="15">
      <c r="A675" s="77" t="s">
        <v>231</v>
      </c>
      <c r="B675" s="76" t="s">
        <v>3123</v>
      </c>
      <c r="C675" s="80" t="s">
        <v>949</v>
      </c>
    </row>
    <row r="676" spans="1:3" ht="15">
      <c r="A676" s="77" t="s">
        <v>231</v>
      </c>
      <c r="B676" s="76" t="s">
        <v>3124</v>
      </c>
      <c r="C676" s="80" t="s">
        <v>949</v>
      </c>
    </row>
    <row r="677" spans="1:3" ht="15">
      <c r="A677" s="77" t="s">
        <v>231</v>
      </c>
      <c r="B677" s="76" t="s">
        <v>3125</v>
      </c>
      <c r="C677" s="80" t="s">
        <v>949</v>
      </c>
    </row>
    <row r="678" spans="1:3" ht="15">
      <c r="A678" s="77" t="s">
        <v>231</v>
      </c>
      <c r="B678" s="76" t="s">
        <v>2630</v>
      </c>
      <c r="C678" s="80" t="s">
        <v>949</v>
      </c>
    </row>
    <row r="679" spans="1:3" ht="15">
      <c r="A679" s="77" t="s">
        <v>231</v>
      </c>
      <c r="B679" s="76" t="s">
        <v>3126</v>
      </c>
      <c r="C679" s="80" t="s">
        <v>949</v>
      </c>
    </row>
    <row r="680" spans="1:3" ht="15">
      <c r="A680" s="77" t="s">
        <v>231</v>
      </c>
      <c r="B680" s="76" t="s">
        <v>3127</v>
      </c>
      <c r="C680" s="80" t="s">
        <v>949</v>
      </c>
    </row>
    <row r="681" spans="1:3" ht="15">
      <c r="A681" s="77" t="s">
        <v>231</v>
      </c>
      <c r="B681" s="76" t="s">
        <v>2442</v>
      </c>
      <c r="C681" s="80" t="s">
        <v>949</v>
      </c>
    </row>
    <row r="682" spans="1:3" ht="15">
      <c r="A682" s="77" t="s">
        <v>256</v>
      </c>
      <c r="B682" s="76" t="s">
        <v>2455</v>
      </c>
      <c r="C682" s="80" t="s">
        <v>977</v>
      </c>
    </row>
    <row r="683" spans="1:3" ht="15">
      <c r="A683" s="77" t="s">
        <v>256</v>
      </c>
      <c r="B683" s="76" t="s">
        <v>2452</v>
      </c>
      <c r="C683" s="80" t="s">
        <v>977</v>
      </c>
    </row>
    <row r="684" spans="1:3" ht="15">
      <c r="A684" s="77" t="s">
        <v>256</v>
      </c>
      <c r="B684" s="76" t="s">
        <v>2477</v>
      </c>
      <c r="C684" s="80" t="s">
        <v>977</v>
      </c>
    </row>
    <row r="685" spans="1:3" ht="15">
      <c r="A685" s="77" t="s">
        <v>256</v>
      </c>
      <c r="B685" s="76" t="s">
        <v>2683</v>
      </c>
      <c r="C685" s="80" t="s">
        <v>977</v>
      </c>
    </row>
    <row r="686" spans="1:3" ht="15">
      <c r="A686" s="77" t="s">
        <v>256</v>
      </c>
      <c r="B686" s="76" t="s">
        <v>2551</v>
      </c>
      <c r="C686" s="80" t="s">
        <v>977</v>
      </c>
    </row>
    <row r="687" spans="1:3" ht="15">
      <c r="A687" s="77" t="s">
        <v>256</v>
      </c>
      <c r="B687" s="76" t="s">
        <v>2569</v>
      </c>
      <c r="C687" s="80" t="s">
        <v>977</v>
      </c>
    </row>
    <row r="688" spans="1:3" ht="15">
      <c r="A688" s="77" t="s">
        <v>256</v>
      </c>
      <c r="B688" s="76">
        <v>14</v>
      </c>
      <c r="C688" s="80" t="s">
        <v>977</v>
      </c>
    </row>
    <row r="689" spans="1:3" ht="15">
      <c r="A689" s="77" t="s">
        <v>256</v>
      </c>
      <c r="B689" s="76" t="s">
        <v>2557</v>
      </c>
      <c r="C689" s="80" t="s">
        <v>977</v>
      </c>
    </row>
    <row r="690" spans="1:3" ht="15">
      <c r="A690" s="77" t="s">
        <v>256</v>
      </c>
      <c r="B690" s="76" t="s">
        <v>2438</v>
      </c>
      <c r="C690" s="80" t="s">
        <v>977</v>
      </c>
    </row>
    <row r="691" spans="1:3" ht="15">
      <c r="A691" s="77" t="s">
        <v>256</v>
      </c>
      <c r="B691" s="76" t="s">
        <v>2439</v>
      </c>
      <c r="C691" s="80" t="s">
        <v>977</v>
      </c>
    </row>
    <row r="692" spans="1:3" ht="15">
      <c r="A692" s="77" t="s">
        <v>256</v>
      </c>
      <c r="B692" s="76" t="s">
        <v>2694</v>
      </c>
      <c r="C692" s="80" t="s">
        <v>977</v>
      </c>
    </row>
    <row r="693" spans="1:3" ht="15">
      <c r="A693" s="77" t="s">
        <v>256</v>
      </c>
      <c r="B693" s="76" t="s">
        <v>2731</v>
      </c>
      <c r="C693" s="80" t="s">
        <v>977</v>
      </c>
    </row>
    <row r="694" spans="1:3" ht="15">
      <c r="A694" s="77" t="s">
        <v>331</v>
      </c>
      <c r="B694" s="76" t="s">
        <v>2465</v>
      </c>
      <c r="C694" s="80" t="s">
        <v>1071</v>
      </c>
    </row>
    <row r="695" spans="1:3" ht="15">
      <c r="A695" s="77" t="s">
        <v>331</v>
      </c>
      <c r="B695" s="76" t="s">
        <v>2746</v>
      </c>
      <c r="C695" s="80" t="s">
        <v>1071</v>
      </c>
    </row>
    <row r="696" spans="1:3" ht="15">
      <c r="A696" s="77" t="s">
        <v>331</v>
      </c>
      <c r="B696" s="76" t="s">
        <v>3128</v>
      </c>
      <c r="C696" s="80" t="s">
        <v>1071</v>
      </c>
    </row>
    <row r="697" spans="1:3" ht="15">
      <c r="A697" s="77" t="s">
        <v>331</v>
      </c>
      <c r="B697" s="76" t="s">
        <v>3129</v>
      </c>
      <c r="C697" s="80" t="s">
        <v>1071</v>
      </c>
    </row>
    <row r="698" spans="1:3" ht="15">
      <c r="A698" s="77" t="s">
        <v>331</v>
      </c>
      <c r="B698" s="76" t="s">
        <v>2461</v>
      </c>
      <c r="C698" s="80" t="s">
        <v>1071</v>
      </c>
    </row>
    <row r="699" spans="1:3" ht="15">
      <c r="A699" s="77" t="s">
        <v>331</v>
      </c>
      <c r="B699" s="76" t="s">
        <v>2523</v>
      </c>
      <c r="C699" s="80" t="s">
        <v>1071</v>
      </c>
    </row>
    <row r="700" spans="1:3" ht="15">
      <c r="A700" s="77" t="s">
        <v>331</v>
      </c>
      <c r="B700" s="76" t="s">
        <v>2543</v>
      </c>
      <c r="C700" s="80" t="s">
        <v>1071</v>
      </c>
    </row>
    <row r="701" spans="1:3" ht="15">
      <c r="A701" s="77" t="s">
        <v>331</v>
      </c>
      <c r="B701" s="76" t="s">
        <v>3130</v>
      </c>
      <c r="C701" s="80" t="s">
        <v>1071</v>
      </c>
    </row>
    <row r="702" spans="1:3" ht="15">
      <c r="A702" s="77" t="s">
        <v>331</v>
      </c>
      <c r="B702" s="76" t="s">
        <v>3131</v>
      </c>
      <c r="C702" s="80" t="s">
        <v>1071</v>
      </c>
    </row>
    <row r="703" spans="1:3" ht="15">
      <c r="A703" s="77" t="s">
        <v>331</v>
      </c>
      <c r="B703" s="76" t="s">
        <v>2535</v>
      </c>
      <c r="C703" s="80" t="s">
        <v>1071</v>
      </c>
    </row>
    <row r="704" spans="1:3" ht="15">
      <c r="A704" s="77" t="s">
        <v>331</v>
      </c>
      <c r="B704" s="76" t="s">
        <v>3132</v>
      </c>
      <c r="C704" s="80" t="s">
        <v>1071</v>
      </c>
    </row>
    <row r="705" spans="1:3" ht="15">
      <c r="A705" s="77" t="s">
        <v>331</v>
      </c>
      <c r="B705" s="76" t="s">
        <v>2438</v>
      </c>
      <c r="C705" s="80" t="s">
        <v>1071</v>
      </c>
    </row>
    <row r="706" spans="1:3" ht="15">
      <c r="A706" s="77" t="s">
        <v>331</v>
      </c>
      <c r="B706" s="76" t="s">
        <v>2451</v>
      </c>
      <c r="C706" s="80" t="s">
        <v>1071</v>
      </c>
    </row>
    <row r="707" spans="1:3" ht="15">
      <c r="A707" s="77" t="s">
        <v>331</v>
      </c>
      <c r="B707" s="76" t="s">
        <v>3133</v>
      </c>
      <c r="C707" s="80" t="s">
        <v>1071</v>
      </c>
    </row>
    <row r="708" spans="1:3" ht="15">
      <c r="A708" s="77" t="s">
        <v>331</v>
      </c>
      <c r="B708" s="76" t="s">
        <v>3134</v>
      </c>
      <c r="C708" s="80" t="s">
        <v>1071</v>
      </c>
    </row>
    <row r="709" spans="1:3" ht="15">
      <c r="A709" s="77" t="s">
        <v>331</v>
      </c>
      <c r="B709" s="76" t="s">
        <v>431</v>
      </c>
      <c r="C709" s="80" t="s">
        <v>1071</v>
      </c>
    </row>
    <row r="710" spans="1:3" ht="15">
      <c r="A710" s="77" t="s">
        <v>244</v>
      </c>
      <c r="B710" s="76" t="s">
        <v>2534</v>
      </c>
      <c r="C710" s="80" t="s">
        <v>964</v>
      </c>
    </row>
    <row r="711" spans="1:3" ht="15">
      <c r="A711" s="77" t="s">
        <v>244</v>
      </c>
      <c r="B711" s="76" t="s">
        <v>2507</v>
      </c>
      <c r="C711" s="80" t="s">
        <v>964</v>
      </c>
    </row>
    <row r="712" spans="1:3" ht="15">
      <c r="A712" s="77" t="s">
        <v>244</v>
      </c>
      <c r="B712" s="76" t="s">
        <v>2749</v>
      </c>
      <c r="C712" s="80" t="s">
        <v>964</v>
      </c>
    </row>
    <row r="713" spans="1:3" ht="15">
      <c r="A713" s="77" t="s">
        <v>244</v>
      </c>
      <c r="B713" s="76" t="s">
        <v>2769</v>
      </c>
      <c r="C713" s="80" t="s">
        <v>964</v>
      </c>
    </row>
    <row r="714" spans="1:3" ht="15">
      <c r="A714" s="77" t="s">
        <v>244</v>
      </c>
      <c r="B714" s="76" t="s">
        <v>2444</v>
      </c>
      <c r="C714" s="80" t="s">
        <v>964</v>
      </c>
    </row>
    <row r="715" spans="1:3" ht="15">
      <c r="A715" s="77" t="s">
        <v>244</v>
      </c>
      <c r="B715" s="76" t="s">
        <v>3135</v>
      </c>
      <c r="C715" s="80" t="s">
        <v>964</v>
      </c>
    </row>
    <row r="716" spans="1:3" ht="15">
      <c r="A716" s="77" t="s">
        <v>244</v>
      </c>
      <c r="B716" s="76" t="s">
        <v>3136</v>
      </c>
      <c r="C716" s="80" t="s">
        <v>964</v>
      </c>
    </row>
    <row r="717" spans="1:3" ht="15">
      <c r="A717" s="77" t="s">
        <v>244</v>
      </c>
      <c r="B717" s="76" t="s">
        <v>2554</v>
      </c>
      <c r="C717" s="80" t="s">
        <v>964</v>
      </c>
    </row>
    <row r="718" spans="1:3" ht="15">
      <c r="A718" s="77" t="s">
        <v>244</v>
      </c>
      <c r="B718" s="76" t="s">
        <v>2438</v>
      </c>
      <c r="C718" s="80" t="s">
        <v>964</v>
      </c>
    </row>
    <row r="719" spans="1:3" ht="15">
      <c r="A719" s="77" t="s">
        <v>244</v>
      </c>
      <c r="B719" s="76" t="s">
        <v>3137</v>
      </c>
      <c r="C719" s="80" t="s">
        <v>964</v>
      </c>
    </row>
    <row r="720" spans="1:3" ht="15">
      <c r="A720" s="77" t="s">
        <v>244</v>
      </c>
      <c r="B720" s="76" t="s">
        <v>3138</v>
      </c>
      <c r="C720" s="80" t="s">
        <v>964</v>
      </c>
    </row>
    <row r="721" spans="1:3" ht="15">
      <c r="A721" s="77" t="s">
        <v>244</v>
      </c>
      <c r="B721" s="76" t="s">
        <v>2591</v>
      </c>
      <c r="C721" s="80" t="s">
        <v>964</v>
      </c>
    </row>
    <row r="722" spans="1:3" ht="15">
      <c r="A722" s="77" t="s">
        <v>244</v>
      </c>
      <c r="B722" s="76" t="s">
        <v>3139</v>
      </c>
      <c r="C722" s="80" t="s">
        <v>964</v>
      </c>
    </row>
    <row r="723" spans="1:3" ht="15">
      <c r="A723" s="77" t="s">
        <v>244</v>
      </c>
      <c r="B723" s="76" t="s">
        <v>2621</v>
      </c>
      <c r="C723" s="80" t="s">
        <v>964</v>
      </c>
    </row>
    <row r="724" spans="1:3" ht="15">
      <c r="A724" s="77" t="s">
        <v>244</v>
      </c>
      <c r="B724" s="76" t="s">
        <v>3140</v>
      </c>
      <c r="C724" s="80" t="s">
        <v>964</v>
      </c>
    </row>
    <row r="725" spans="1:3" ht="15">
      <c r="A725" s="77" t="s">
        <v>244</v>
      </c>
      <c r="B725" s="76" t="s">
        <v>3141</v>
      </c>
      <c r="C725" s="80" t="s">
        <v>964</v>
      </c>
    </row>
    <row r="726" spans="1:3" ht="15">
      <c r="A726" s="77" t="s">
        <v>244</v>
      </c>
      <c r="B726" s="76" t="s">
        <v>2776</v>
      </c>
      <c r="C726" s="80" t="s">
        <v>964</v>
      </c>
    </row>
    <row r="727" spans="1:3" ht="15">
      <c r="A727" s="77" t="s">
        <v>244</v>
      </c>
      <c r="B727" s="76" t="s">
        <v>2718</v>
      </c>
      <c r="C727" s="80" t="s">
        <v>964</v>
      </c>
    </row>
    <row r="728" spans="1:3" ht="15">
      <c r="A728" s="77" t="s">
        <v>244</v>
      </c>
      <c r="B728" s="76" t="s">
        <v>3142</v>
      </c>
      <c r="C728" s="80" t="s">
        <v>964</v>
      </c>
    </row>
    <row r="729" spans="1:3" ht="15">
      <c r="A729" s="77" t="s">
        <v>244</v>
      </c>
      <c r="B729" s="76" t="s">
        <v>3143</v>
      </c>
      <c r="C729" s="80" t="s">
        <v>964</v>
      </c>
    </row>
    <row r="730" spans="1:3" ht="15">
      <c r="A730" s="77" t="s">
        <v>244</v>
      </c>
      <c r="B730" s="76" t="s">
        <v>3144</v>
      </c>
      <c r="C730" s="80" t="s">
        <v>964</v>
      </c>
    </row>
    <row r="731" spans="1:3" ht="15">
      <c r="A731" s="77" t="s">
        <v>244</v>
      </c>
      <c r="B731" s="76" t="s">
        <v>2761</v>
      </c>
      <c r="C731" s="80" t="s">
        <v>964</v>
      </c>
    </row>
    <row r="732" spans="1:3" ht="15">
      <c r="A732" s="77" t="s">
        <v>244</v>
      </c>
      <c r="B732" s="76">
        <v>21</v>
      </c>
      <c r="C732" s="80" t="s">
        <v>964</v>
      </c>
    </row>
    <row r="733" spans="1:3" ht="15">
      <c r="A733" s="77" t="s">
        <v>244</v>
      </c>
      <c r="B733" s="76" t="s">
        <v>359</v>
      </c>
      <c r="C733" s="80" t="s">
        <v>964</v>
      </c>
    </row>
    <row r="734" spans="1:3" ht="15">
      <c r="A734" s="77" t="s">
        <v>244</v>
      </c>
      <c r="B734" s="76" t="s">
        <v>360</v>
      </c>
      <c r="C734" s="80" t="s">
        <v>964</v>
      </c>
    </row>
    <row r="735" spans="1:3" ht="15">
      <c r="A735" s="77" t="s">
        <v>244</v>
      </c>
      <c r="B735" s="76" t="s">
        <v>361</v>
      </c>
      <c r="C735" s="80" t="s">
        <v>964</v>
      </c>
    </row>
    <row r="736" spans="1:3" ht="15">
      <c r="A736" s="77" t="s">
        <v>244</v>
      </c>
      <c r="B736" s="76" t="s">
        <v>362</v>
      </c>
      <c r="C736" s="80" t="s">
        <v>964</v>
      </c>
    </row>
    <row r="737" spans="1:3" ht="15">
      <c r="A737" s="77" t="s">
        <v>320</v>
      </c>
      <c r="B737" s="76" t="s">
        <v>2466</v>
      </c>
      <c r="C737" s="80" t="s">
        <v>1058</v>
      </c>
    </row>
    <row r="738" spans="1:3" ht="15">
      <c r="A738" s="77" t="s">
        <v>320</v>
      </c>
      <c r="B738" s="76" t="s">
        <v>3145</v>
      </c>
      <c r="C738" s="80" t="s">
        <v>1058</v>
      </c>
    </row>
    <row r="739" spans="1:3" ht="15">
      <c r="A739" s="77" t="s">
        <v>320</v>
      </c>
      <c r="B739" s="76" t="s">
        <v>2582</v>
      </c>
      <c r="C739" s="80" t="s">
        <v>1058</v>
      </c>
    </row>
    <row r="740" spans="1:3" ht="15">
      <c r="A740" s="77" t="s">
        <v>320</v>
      </c>
      <c r="B740" s="76" t="s">
        <v>2698</v>
      </c>
      <c r="C740" s="80" t="s">
        <v>1058</v>
      </c>
    </row>
    <row r="741" spans="1:3" ht="15">
      <c r="A741" s="77" t="s">
        <v>320</v>
      </c>
      <c r="B741" s="76" t="s">
        <v>2464</v>
      </c>
      <c r="C741" s="80" t="s">
        <v>1058</v>
      </c>
    </row>
    <row r="742" spans="1:3" ht="15">
      <c r="A742" s="77" t="s">
        <v>320</v>
      </c>
      <c r="B742" s="76" t="s">
        <v>2648</v>
      </c>
      <c r="C742" s="80" t="s">
        <v>1058</v>
      </c>
    </row>
    <row r="743" spans="1:3" ht="15">
      <c r="A743" s="77" t="s">
        <v>320</v>
      </c>
      <c r="B743" s="76" t="s">
        <v>3146</v>
      </c>
      <c r="C743" s="80" t="s">
        <v>1058</v>
      </c>
    </row>
    <row r="744" spans="1:3" ht="15">
      <c r="A744" s="77" t="s">
        <v>320</v>
      </c>
      <c r="B744" s="76" t="s">
        <v>3147</v>
      </c>
      <c r="C744" s="80" t="s">
        <v>1058</v>
      </c>
    </row>
    <row r="745" spans="1:3" ht="15">
      <c r="A745" s="77" t="s">
        <v>320</v>
      </c>
      <c r="B745" s="76" t="s">
        <v>3148</v>
      </c>
      <c r="C745" s="80" t="s">
        <v>1058</v>
      </c>
    </row>
    <row r="746" spans="1:3" ht="15">
      <c r="A746" s="77" t="s">
        <v>320</v>
      </c>
      <c r="B746" s="76" t="s">
        <v>3149</v>
      </c>
      <c r="C746" s="80" t="s">
        <v>1058</v>
      </c>
    </row>
    <row r="747" spans="1:3" ht="15">
      <c r="A747" s="77" t="s">
        <v>320</v>
      </c>
      <c r="B747" s="76" t="s">
        <v>3150</v>
      </c>
      <c r="C747" s="80" t="s">
        <v>1058</v>
      </c>
    </row>
    <row r="748" spans="1:3" ht="15">
      <c r="A748" s="77" t="s">
        <v>304</v>
      </c>
      <c r="B748" s="76" t="s">
        <v>3151</v>
      </c>
      <c r="C748" s="80" t="s">
        <v>1029</v>
      </c>
    </row>
    <row r="749" spans="1:3" ht="15">
      <c r="A749" s="77" t="s">
        <v>304</v>
      </c>
      <c r="B749" s="76" t="s">
        <v>2438</v>
      </c>
      <c r="C749" s="80" t="s">
        <v>1029</v>
      </c>
    </row>
    <row r="750" spans="1:3" ht="15">
      <c r="A750" s="77" t="s">
        <v>304</v>
      </c>
      <c r="B750" s="76" t="s">
        <v>2641</v>
      </c>
      <c r="C750" s="80" t="s">
        <v>1029</v>
      </c>
    </row>
    <row r="751" spans="1:3" ht="15">
      <c r="A751" s="77" t="s">
        <v>304</v>
      </c>
      <c r="B751" s="76" t="s">
        <v>2639</v>
      </c>
      <c r="C751" s="80" t="s">
        <v>1029</v>
      </c>
    </row>
    <row r="752" spans="1:3" ht="15">
      <c r="A752" s="77" t="s">
        <v>304</v>
      </c>
      <c r="B752" s="76" t="s">
        <v>3152</v>
      </c>
      <c r="C752" s="80" t="s">
        <v>1029</v>
      </c>
    </row>
    <row r="753" spans="1:3" ht="15">
      <c r="A753" s="77" t="s">
        <v>304</v>
      </c>
      <c r="B753" s="76" t="s">
        <v>3153</v>
      </c>
      <c r="C753" s="80" t="s">
        <v>1029</v>
      </c>
    </row>
    <row r="754" spans="1:3" ht="15">
      <c r="A754" s="77" t="s">
        <v>304</v>
      </c>
      <c r="B754" s="76" t="s">
        <v>2489</v>
      </c>
      <c r="C754" s="80" t="s">
        <v>1029</v>
      </c>
    </row>
    <row r="755" spans="1:3" ht="15">
      <c r="A755" s="77" t="s">
        <v>304</v>
      </c>
      <c r="B755" s="76" t="s">
        <v>3154</v>
      </c>
      <c r="C755" s="80" t="s">
        <v>1029</v>
      </c>
    </row>
    <row r="756" spans="1:3" ht="15">
      <c r="A756" s="77" t="s">
        <v>304</v>
      </c>
      <c r="B756" s="76" t="s">
        <v>2762</v>
      </c>
      <c r="C756" s="80" t="s">
        <v>1029</v>
      </c>
    </row>
    <row r="757" spans="1:3" ht="15">
      <c r="A757" s="77" t="s">
        <v>304</v>
      </c>
      <c r="B757" s="76" t="s">
        <v>2591</v>
      </c>
      <c r="C757" s="80" t="s">
        <v>1029</v>
      </c>
    </row>
    <row r="758" spans="1:3" ht="15">
      <c r="A758" s="77" t="s">
        <v>252</v>
      </c>
      <c r="B758" s="76" t="s">
        <v>3155</v>
      </c>
      <c r="C758" s="80" t="s">
        <v>973</v>
      </c>
    </row>
    <row r="759" spans="1:3" ht="15">
      <c r="A759" s="77" t="s">
        <v>252</v>
      </c>
      <c r="B759" s="76" t="s">
        <v>3156</v>
      </c>
      <c r="C759" s="80" t="s">
        <v>973</v>
      </c>
    </row>
    <row r="760" spans="1:3" ht="15">
      <c r="A760" s="77" t="s">
        <v>252</v>
      </c>
      <c r="B760" s="76" t="s">
        <v>2764</v>
      </c>
      <c r="C760" s="80" t="s">
        <v>973</v>
      </c>
    </row>
    <row r="761" spans="1:3" ht="15">
      <c r="A761" s="77" t="s">
        <v>252</v>
      </c>
      <c r="B761" s="76" t="s">
        <v>3157</v>
      </c>
      <c r="C761" s="80" t="s">
        <v>973</v>
      </c>
    </row>
    <row r="762" spans="1:3" ht="15">
      <c r="A762" s="77" t="s">
        <v>252</v>
      </c>
      <c r="B762" s="76" t="s">
        <v>2514</v>
      </c>
      <c r="C762" s="80" t="s">
        <v>973</v>
      </c>
    </row>
    <row r="763" spans="1:3" ht="15">
      <c r="A763" s="77" t="s">
        <v>252</v>
      </c>
      <c r="B763" s="76" t="s">
        <v>3158</v>
      </c>
      <c r="C763" s="80" t="s">
        <v>973</v>
      </c>
    </row>
    <row r="764" spans="1:3" ht="15">
      <c r="A764" s="77" t="s">
        <v>252</v>
      </c>
      <c r="B764" s="76" t="s">
        <v>2438</v>
      </c>
      <c r="C764" s="80" t="s">
        <v>973</v>
      </c>
    </row>
    <row r="765" spans="1:3" ht="15">
      <c r="A765" s="77" t="s">
        <v>252</v>
      </c>
      <c r="B765" s="76" t="s">
        <v>2505</v>
      </c>
      <c r="C765" s="80" t="s">
        <v>973</v>
      </c>
    </row>
    <row r="766" spans="1:3" ht="15">
      <c r="A766" s="77" t="s">
        <v>252</v>
      </c>
      <c r="B766" s="76" t="s">
        <v>2580</v>
      </c>
      <c r="C766" s="80" t="s">
        <v>973</v>
      </c>
    </row>
    <row r="767" spans="1:3" ht="15">
      <c r="A767" s="77" t="s">
        <v>252</v>
      </c>
      <c r="B767" s="76" t="s">
        <v>369</v>
      </c>
      <c r="C767" s="80" t="s">
        <v>973</v>
      </c>
    </row>
    <row r="768" spans="1:3" ht="15">
      <c r="A768" s="77" t="s">
        <v>311</v>
      </c>
      <c r="B768" s="76" t="s">
        <v>2438</v>
      </c>
      <c r="C768" s="80" t="s">
        <v>1044</v>
      </c>
    </row>
    <row r="769" spans="1:3" ht="15">
      <c r="A769" s="77" t="s">
        <v>311</v>
      </c>
      <c r="B769" s="76" t="s">
        <v>2473</v>
      </c>
      <c r="C769" s="80" t="s">
        <v>1044</v>
      </c>
    </row>
    <row r="770" spans="1:3" ht="15">
      <c r="A770" s="77" t="s">
        <v>311</v>
      </c>
      <c r="B770" s="76" t="s">
        <v>3159</v>
      </c>
      <c r="C770" s="80" t="s">
        <v>1044</v>
      </c>
    </row>
    <row r="771" spans="1:3" ht="15">
      <c r="A771" s="77" t="s">
        <v>311</v>
      </c>
      <c r="B771" s="76" t="s">
        <v>3160</v>
      </c>
      <c r="C771" s="80" t="s">
        <v>1044</v>
      </c>
    </row>
    <row r="772" spans="1:3" ht="15">
      <c r="A772" s="77" t="s">
        <v>311</v>
      </c>
      <c r="B772" s="76" t="s">
        <v>3161</v>
      </c>
      <c r="C772" s="80" t="s">
        <v>1044</v>
      </c>
    </row>
    <row r="773" spans="1:3" ht="15">
      <c r="A773" s="77" t="s">
        <v>311</v>
      </c>
      <c r="B773" s="76" t="s">
        <v>410</v>
      </c>
      <c r="C773" s="80" t="s">
        <v>1044</v>
      </c>
    </row>
    <row r="774" spans="1:3" ht="15">
      <c r="A774" s="77" t="s">
        <v>311</v>
      </c>
      <c r="B774" s="76" t="s">
        <v>1288</v>
      </c>
      <c r="C774" s="80" t="s">
        <v>1044</v>
      </c>
    </row>
    <row r="775" spans="1:3" ht="15">
      <c r="A775" s="77" t="s">
        <v>319</v>
      </c>
      <c r="B775" s="76" t="s">
        <v>3162</v>
      </c>
      <c r="C775" s="80" t="s">
        <v>1054</v>
      </c>
    </row>
    <row r="776" spans="1:3" ht="15">
      <c r="A776" s="77" t="s">
        <v>319</v>
      </c>
      <c r="B776" s="76" t="s">
        <v>3163</v>
      </c>
      <c r="C776" s="80" t="s">
        <v>1054</v>
      </c>
    </row>
    <row r="777" spans="1:3" ht="15">
      <c r="A777" s="77" t="s">
        <v>319</v>
      </c>
      <c r="B777" s="76" t="s">
        <v>2438</v>
      </c>
      <c r="C777" s="80" t="s">
        <v>1054</v>
      </c>
    </row>
    <row r="778" spans="1:3" ht="15">
      <c r="A778" s="77" t="s">
        <v>319</v>
      </c>
      <c r="B778" s="76" t="s">
        <v>2706</v>
      </c>
      <c r="C778" s="80" t="s">
        <v>1054</v>
      </c>
    </row>
    <row r="779" spans="1:3" ht="15">
      <c r="A779" s="77" t="s">
        <v>319</v>
      </c>
      <c r="B779" s="76" t="s">
        <v>2515</v>
      </c>
      <c r="C779" s="80" t="s">
        <v>1054</v>
      </c>
    </row>
    <row r="780" spans="1:3" ht="15">
      <c r="A780" s="77" t="s">
        <v>319</v>
      </c>
      <c r="B780" s="76" t="s">
        <v>3164</v>
      </c>
      <c r="C780" s="80" t="s">
        <v>1054</v>
      </c>
    </row>
    <row r="781" spans="1:3" ht="15">
      <c r="A781" s="77" t="s">
        <v>319</v>
      </c>
      <c r="B781" s="76" t="s">
        <v>3165</v>
      </c>
      <c r="C781" s="80" t="s">
        <v>1054</v>
      </c>
    </row>
    <row r="782" spans="1:3" ht="15">
      <c r="A782" s="77" t="s">
        <v>319</v>
      </c>
      <c r="B782" s="76" t="s">
        <v>3166</v>
      </c>
      <c r="C782" s="80" t="s">
        <v>1054</v>
      </c>
    </row>
    <row r="783" spans="1:3" ht="15">
      <c r="A783" s="77" t="s">
        <v>319</v>
      </c>
      <c r="B783" s="76" t="s">
        <v>3167</v>
      </c>
      <c r="C783" s="80" t="s">
        <v>1054</v>
      </c>
    </row>
    <row r="784" spans="1:3" ht="15">
      <c r="A784" s="77" t="s">
        <v>319</v>
      </c>
      <c r="B784" s="76" t="s">
        <v>3168</v>
      </c>
      <c r="C784" s="80" t="s">
        <v>1054</v>
      </c>
    </row>
    <row r="785" spans="1:3" ht="15">
      <c r="A785" s="77" t="s">
        <v>319</v>
      </c>
      <c r="B785" s="76" t="s">
        <v>3169</v>
      </c>
      <c r="C785" s="80" t="s">
        <v>1054</v>
      </c>
    </row>
    <row r="786" spans="1:3" ht="15">
      <c r="A786" s="77" t="s">
        <v>319</v>
      </c>
      <c r="B786" s="76" t="s">
        <v>3170</v>
      </c>
      <c r="C786" s="80" t="s">
        <v>1054</v>
      </c>
    </row>
    <row r="787" spans="1:3" ht="15">
      <c r="A787" s="77" t="s">
        <v>319</v>
      </c>
      <c r="B787" s="76" t="s">
        <v>419</v>
      </c>
      <c r="C787" s="80" t="s">
        <v>1054</v>
      </c>
    </row>
    <row r="788" spans="1:3" ht="15">
      <c r="A788" s="77" t="s">
        <v>319</v>
      </c>
      <c r="B788" s="76" t="s">
        <v>420</v>
      </c>
      <c r="C788" s="80" t="s">
        <v>1054</v>
      </c>
    </row>
    <row r="789" spans="1:3" ht="15">
      <c r="A789" s="77" t="s">
        <v>319</v>
      </c>
      <c r="B789" s="76" t="s">
        <v>268</v>
      </c>
      <c r="C789" s="80" t="s">
        <v>1054</v>
      </c>
    </row>
    <row r="790" spans="1:3" ht="15">
      <c r="A790" s="77" t="s">
        <v>319</v>
      </c>
      <c r="B790" s="76" t="s">
        <v>3171</v>
      </c>
      <c r="C790" s="80" t="s">
        <v>1054</v>
      </c>
    </row>
    <row r="791" spans="1:3" ht="15">
      <c r="A791" s="77" t="s">
        <v>314</v>
      </c>
      <c r="B791" s="76" t="s">
        <v>3172</v>
      </c>
      <c r="C791" s="80" t="s">
        <v>1047</v>
      </c>
    </row>
    <row r="792" spans="1:3" ht="15">
      <c r="A792" s="77" t="s">
        <v>314</v>
      </c>
      <c r="B792" s="76" t="s">
        <v>3173</v>
      </c>
      <c r="C792" s="80" t="s">
        <v>1047</v>
      </c>
    </row>
    <row r="793" spans="1:3" ht="15">
      <c r="A793" s="77" t="s">
        <v>314</v>
      </c>
      <c r="B793" s="76" t="s">
        <v>2590</v>
      </c>
      <c r="C793" s="80" t="s">
        <v>1047</v>
      </c>
    </row>
    <row r="794" spans="1:3" ht="15">
      <c r="A794" s="77" t="s">
        <v>314</v>
      </c>
      <c r="B794" s="76" t="s">
        <v>3174</v>
      </c>
      <c r="C794" s="80" t="s">
        <v>1047</v>
      </c>
    </row>
    <row r="795" spans="1:3" ht="15">
      <c r="A795" s="77" t="s">
        <v>314</v>
      </c>
      <c r="B795" s="76" t="s">
        <v>2674</v>
      </c>
      <c r="C795" s="80" t="s">
        <v>1047</v>
      </c>
    </row>
    <row r="796" spans="1:3" ht="15">
      <c r="A796" s="77" t="s">
        <v>314</v>
      </c>
      <c r="B796" s="76" t="s">
        <v>2601</v>
      </c>
      <c r="C796" s="80" t="s">
        <v>1047</v>
      </c>
    </row>
    <row r="797" spans="1:3" ht="15">
      <c r="A797" s="77" t="s">
        <v>314</v>
      </c>
      <c r="B797" s="76" t="s">
        <v>2699</v>
      </c>
      <c r="C797" s="80" t="s">
        <v>1047</v>
      </c>
    </row>
    <row r="798" spans="1:3" ht="15">
      <c r="A798" s="77" t="s">
        <v>314</v>
      </c>
      <c r="B798" s="76" t="s">
        <v>2438</v>
      </c>
      <c r="C798" s="80" t="s">
        <v>1047</v>
      </c>
    </row>
    <row r="799" spans="1:3" ht="15">
      <c r="A799" s="77" t="s">
        <v>314</v>
      </c>
      <c r="B799" s="76" t="s">
        <v>3175</v>
      </c>
      <c r="C799" s="80" t="s">
        <v>1047</v>
      </c>
    </row>
    <row r="800" spans="1:3" ht="15">
      <c r="A800" s="77" t="s">
        <v>314</v>
      </c>
      <c r="B800" s="76" t="s">
        <v>3176</v>
      </c>
      <c r="C800" s="80" t="s">
        <v>1047</v>
      </c>
    </row>
    <row r="801" spans="1:3" ht="15">
      <c r="A801" s="77" t="s">
        <v>314</v>
      </c>
      <c r="B801" s="76" t="s">
        <v>3177</v>
      </c>
      <c r="C801" s="80" t="s">
        <v>1047</v>
      </c>
    </row>
    <row r="802" spans="1:3" ht="15">
      <c r="A802" s="77" t="s">
        <v>314</v>
      </c>
      <c r="B802" s="76" t="s">
        <v>3178</v>
      </c>
      <c r="C802" s="80" t="s">
        <v>1047</v>
      </c>
    </row>
    <row r="803" spans="1:3" ht="15">
      <c r="A803" s="77" t="s">
        <v>314</v>
      </c>
      <c r="B803" s="76" t="s">
        <v>2748</v>
      </c>
      <c r="C803" s="80" t="s">
        <v>1047</v>
      </c>
    </row>
    <row r="804" spans="1:3" ht="15">
      <c r="A804" s="77" t="s">
        <v>314</v>
      </c>
      <c r="B804" s="76" t="s">
        <v>2504</v>
      </c>
      <c r="C804" s="80" t="s">
        <v>1047</v>
      </c>
    </row>
    <row r="805" spans="1:3" ht="15">
      <c r="A805" s="77" t="s">
        <v>314</v>
      </c>
      <c r="B805" s="76" t="s">
        <v>3179</v>
      </c>
      <c r="C805" s="80" t="s">
        <v>1047</v>
      </c>
    </row>
    <row r="806" spans="1:3" ht="15">
      <c r="A806" s="77" t="s">
        <v>314</v>
      </c>
      <c r="B806" s="76" t="s">
        <v>2744</v>
      </c>
      <c r="C806" s="80" t="s">
        <v>1047</v>
      </c>
    </row>
    <row r="807" spans="1:3" ht="15">
      <c r="A807" s="77" t="s">
        <v>314</v>
      </c>
      <c r="B807" s="76" t="s">
        <v>3180</v>
      </c>
      <c r="C807" s="80" t="s">
        <v>1047</v>
      </c>
    </row>
    <row r="808" spans="1:3" ht="15">
      <c r="A808" s="77" t="s">
        <v>314</v>
      </c>
      <c r="B808" s="76" t="s">
        <v>3181</v>
      </c>
      <c r="C808" s="80" t="s">
        <v>1047</v>
      </c>
    </row>
    <row r="809" spans="1:3" ht="15">
      <c r="A809" s="77" t="s">
        <v>314</v>
      </c>
      <c r="B809" s="76" t="s">
        <v>3182</v>
      </c>
      <c r="C809" s="80" t="s">
        <v>1047</v>
      </c>
    </row>
    <row r="810" spans="1:3" ht="15">
      <c r="A810" s="77" t="s">
        <v>314</v>
      </c>
      <c r="B810" s="76" t="s">
        <v>3183</v>
      </c>
      <c r="C810" s="80" t="s">
        <v>1047</v>
      </c>
    </row>
    <row r="811" spans="1:3" ht="15">
      <c r="A811" s="77" t="s">
        <v>314</v>
      </c>
      <c r="B811" s="76" t="s">
        <v>2462</v>
      </c>
      <c r="C811" s="80" t="s">
        <v>1047</v>
      </c>
    </row>
    <row r="812" spans="1:3" ht="15">
      <c r="A812" s="77" t="s">
        <v>314</v>
      </c>
      <c r="B812" s="76" t="s">
        <v>414</v>
      </c>
      <c r="C812" s="80" t="s">
        <v>1047</v>
      </c>
    </row>
    <row r="813" spans="1:3" ht="15">
      <c r="A813" s="77" t="s">
        <v>334</v>
      </c>
      <c r="B813" s="76" t="s">
        <v>2510</v>
      </c>
      <c r="C813" s="80" t="s">
        <v>1074</v>
      </c>
    </row>
    <row r="814" spans="1:3" ht="15">
      <c r="A814" s="77" t="s">
        <v>334</v>
      </c>
      <c r="B814" s="76" t="s">
        <v>2521</v>
      </c>
      <c r="C814" s="80" t="s">
        <v>1074</v>
      </c>
    </row>
    <row r="815" spans="1:3" ht="15">
      <c r="A815" s="77" t="s">
        <v>334</v>
      </c>
      <c r="B815" s="76" t="s">
        <v>2740</v>
      </c>
      <c r="C815" s="80" t="s">
        <v>1074</v>
      </c>
    </row>
    <row r="816" spans="1:3" ht="15">
      <c r="A816" s="77" t="s">
        <v>334</v>
      </c>
      <c r="B816" s="76" t="s">
        <v>2448</v>
      </c>
      <c r="C816" s="80" t="s">
        <v>1074</v>
      </c>
    </row>
    <row r="817" spans="1:3" ht="15">
      <c r="A817" s="77" t="s">
        <v>334</v>
      </c>
      <c r="B817" s="76" t="s">
        <v>2438</v>
      </c>
      <c r="C817" s="80" t="s">
        <v>1074</v>
      </c>
    </row>
    <row r="818" spans="1:3" ht="15">
      <c r="A818" s="77" t="s">
        <v>334</v>
      </c>
      <c r="B818" s="76" t="s">
        <v>2748</v>
      </c>
      <c r="C818" s="80" t="s">
        <v>1074</v>
      </c>
    </row>
    <row r="819" spans="1:3" ht="15">
      <c r="A819" s="77" t="s">
        <v>334</v>
      </c>
      <c r="B819" s="76" t="s">
        <v>2674</v>
      </c>
      <c r="C819" s="80" t="s">
        <v>1074</v>
      </c>
    </row>
    <row r="820" spans="1:3" ht="15">
      <c r="A820" s="77" t="s">
        <v>334</v>
      </c>
      <c r="B820" s="76" t="s">
        <v>2548</v>
      </c>
      <c r="C820" s="80" t="s">
        <v>1074</v>
      </c>
    </row>
    <row r="821" spans="1:3" ht="15">
      <c r="A821" s="77" t="s">
        <v>334</v>
      </c>
      <c r="B821" s="76" t="s">
        <v>2515</v>
      </c>
      <c r="C821" s="80" t="s">
        <v>1074</v>
      </c>
    </row>
    <row r="822" spans="1:3" ht="15">
      <c r="A822" s="77" t="s">
        <v>239</v>
      </c>
      <c r="B822" s="76" t="s">
        <v>2466</v>
      </c>
      <c r="C822" s="80" t="s">
        <v>958</v>
      </c>
    </row>
    <row r="823" spans="1:3" ht="15">
      <c r="A823" s="77" t="s">
        <v>239</v>
      </c>
      <c r="B823" s="76" t="s">
        <v>2458</v>
      </c>
      <c r="C823" s="80" t="s">
        <v>958</v>
      </c>
    </row>
    <row r="824" spans="1:3" ht="15">
      <c r="A824" s="77" t="s">
        <v>239</v>
      </c>
      <c r="B824" s="76" t="s">
        <v>3184</v>
      </c>
      <c r="C824" s="80" t="s">
        <v>958</v>
      </c>
    </row>
    <row r="825" spans="1:3" ht="15">
      <c r="A825" s="77" t="s">
        <v>239</v>
      </c>
      <c r="B825" s="76" t="s">
        <v>3185</v>
      </c>
      <c r="C825" s="80" t="s">
        <v>958</v>
      </c>
    </row>
    <row r="826" spans="1:3" ht="15">
      <c r="A826" s="77" t="s">
        <v>239</v>
      </c>
      <c r="B826" s="76" t="s">
        <v>3186</v>
      </c>
      <c r="C826" s="80" t="s">
        <v>958</v>
      </c>
    </row>
    <row r="827" spans="1:3" ht="15">
      <c r="A827" s="77" t="s">
        <v>239</v>
      </c>
      <c r="B827" s="76" t="s">
        <v>3187</v>
      </c>
      <c r="C827" s="80" t="s">
        <v>958</v>
      </c>
    </row>
    <row r="828" spans="1:3" ht="15">
      <c r="A828" s="77" t="s">
        <v>239</v>
      </c>
      <c r="B828" s="76" t="s">
        <v>2451</v>
      </c>
      <c r="C828" s="80" t="s">
        <v>958</v>
      </c>
    </row>
    <row r="829" spans="1:3" ht="15">
      <c r="A829" s="77" t="s">
        <v>239</v>
      </c>
      <c r="B829" s="76" t="s">
        <v>2438</v>
      </c>
      <c r="C829" s="80" t="s">
        <v>958</v>
      </c>
    </row>
    <row r="830" spans="1:3" ht="15">
      <c r="A830" s="77" t="s">
        <v>239</v>
      </c>
      <c r="B830" s="76" t="s">
        <v>3188</v>
      </c>
      <c r="C830" s="80" t="s">
        <v>958</v>
      </c>
    </row>
    <row r="831" spans="1:3" ht="15">
      <c r="A831" s="77" t="s">
        <v>239</v>
      </c>
      <c r="B831" s="76" t="s">
        <v>3189</v>
      </c>
      <c r="C831" s="80" t="s">
        <v>958</v>
      </c>
    </row>
    <row r="832" spans="1:3" ht="15">
      <c r="A832" s="77" t="s">
        <v>239</v>
      </c>
      <c r="B832" s="76" t="s">
        <v>2736</v>
      </c>
      <c r="C832" s="80" t="s">
        <v>958</v>
      </c>
    </row>
    <row r="833" spans="1:3" ht="15">
      <c r="A833" s="77" t="s">
        <v>239</v>
      </c>
      <c r="B833" s="76" t="s">
        <v>2506</v>
      </c>
      <c r="C833" s="80" t="s">
        <v>958</v>
      </c>
    </row>
    <row r="834" spans="1:3" ht="15">
      <c r="A834" s="77" t="s">
        <v>239</v>
      </c>
      <c r="B834" s="76" t="s">
        <v>2572</v>
      </c>
      <c r="C834" s="80" t="s">
        <v>958</v>
      </c>
    </row>
    <row r="835" spans="1:3" ht="15">
      <c r="A835" s="77" t="s">
        <v>239</v>
      </c>
      <c r="B835" s="76" t="s">
        <v>3190</v>
      </c>
      <c r="C835" s="80" t="s">
        <v>958</v>
      </c>
    </row>
    <row r="836" spans="1:3" ht="15">
      <c r="A836" s="77" t="s">
        <v>239</v>
      </c>
      <c r="B836" s="76" t="s">
        <v>2524</v>
      </c>
      <c r="C836" s="80" t="s">
        <v>958</v>
      </c>
    </row>
    <row r="837" spans="1:3" ht="15">
      <c r="A837" s="77" t="s">
        <v>239</v>
      </c>
      <c r="B837" s="76" t="s">
        <v>2654</v>
      </c>
      <c r="C837" s="80" t="s">
        <v>958</v>
      </c>
    </row>
    <row r="838" spans="1:3" ht="15">
      <c r="A838" s="77" t="s">
        <v>239</v>
      </c>
      <c r="B838" s="76" t="s">
        <v>3191</v>
      </c>
      <c r="C838" s="80" t="s">
        <v>958</v>
      </c>
    </row>
    <row r="839" spans="1:3" ht="15">
      <c r="A839" s="77" t="s">
        <v>239</v>
      </c>
      <c r="B839" s="76" t="s">
        <v>3192</v>
      </c>
      <c r="C839" s="80" t="s">
        <v>958</v>
      </c>
    </row>
    <row r="840" spans="1:3" ht="15">
      <c r="A840" s="77" t="s">
        <v>239</v>
      </c>
      <c r="B840" s="76" t="s">
        <v>2690</v>
      </c>
      <c r="C840" s="80" t="s">
        <v>958</v>
      </c>
    </row>
    <row r="841" spans="1:3" ht="15">
      <c r="A841" s="77" t="s">
        <v>239</v>
      </c>
      <c r="B841" s="76" t="s">
        <v>2521</v>
      </c>
      <c r="C841" s="80" t="s">
        <v>958</v>
      </c>
    </row>
    <row r="842" spans="1:3" ht="15">
      <c r="A842" s="77" t="s">
        <v>239</v>
      </c>
      <c r="B842" s="76" t="s">
        <v>2454</v>
      </c>
      <c r="C842" s="80" t="s">
        <v>958</v>
      </c>
    </row>
    <row r="843" spans="1:3" ht="15">
      <c r="A843" s="77" t="s">
        <v>254</v>
      </c>
      <c r="B843" s="76" t="s">
        <v>2658</v>
      </c>
      <c r="C843" s="80" t="s">
        <v>975</v>
      </c>
    </row>
    <row r="844" spans="1:3" ht="15">
      <c r="A844" s="77" t="s">
        <v>254</v>
      </c>
      <c r="B844" s="76" t="s">
        <v>2477</v>
      </c>
      <c r="C844" s="80" t="s">
        <v>975</v>
      </c>
    </row>
    <row r="845" spans="1:3" ht="15">
      <c r="A845" s="77" t="s">
        <v>254</v>
      </c>
      <c r="B845" s="76" t="s">
        <v>3193</v>
      </c>
      <c r="C845" s="80" t="s">
        <v>975</v>
      </c>
    </row>
    <row r="846" spans="1:3" ht="15">
      <c r="A846" s="77" t="s">
        <v>254</v>
      </c>
      <c r="B846" s="76" t="s">
        <v>2535</v>
      </c>
      <c r="C846" s="80" t="s">
        <v>975</v>
      </c>
    </row>
    <row r="847" spans="1:3" ht="15">
      <c r="A847" s="77" t="s">
        <v>254</v>
      </c>
      <c r="B847" s="76" t="s">
        <v>3194</v>
      </c>
      <c r="C847" s="80" t="s">
        <v>975</v>
      </c>
    </row>
    <row r="848" spans="1:3" ht="15">
      <c r="A848" s="77" t="s">
        <v>254</v>
      </c>
      <c r="B848" s="76" t="s">
        <v>2775</v>
      </c>
      <c r="C848" s="80" t="s">
        <v>975</v>
      </c>
    </row>
    <row r="849" spans="1:3" ht="15">
      <c r="A849" s="77" t="s">
        <v>254</v>
      </c>
      <c r="B849" s="76" t="s">
        <v>2444</v>
      </c>
      <c r="C849" s="80" t="s">
        <v>975</v>
      </c>
    </row>
    <row r="850" spans="1:3" ht="15">
      <c r="A850" s="77" t="s">
        <v>254</v>
      </c>
      <c r="B850" s="76" t="s">
        <v>3195</v>
      </c>
      <c r="C850" s="80" t="s">
        <v>975</v>
      </c>
    </row>
    <row r="851" spans="1:3" ht="15">
      <c r="A851" s="77" t="s">
        <v>254</v>
      </c>
      <c r="B851" s="76" t="s">
        <v>3196</v>
      </c>
      <c r="C851" s="80" t="s">
        <v>975</v>
      </c>
    </row>
    <row r="852" spans="1:3" ht="15">
      <c r="A852" s="77" t="s">
        <v>254</v>
      </c>
      <c r="B852" s="76" t="s">
        <v>3197</v>
      </c>
      <c r="C852" s="80" t="s">
        <v>975</v>
      </c>
    </row>
    <row r="853" spans="1:3" ht="15">
      <c r="A853" s="77" t="s">
        <v>254</v>
      </c>
      <c r="B853" s="76" t="s">
        <v>2710</v>
      </c>
      <c r="C853" s="80" t="s">
        <v>975</v>
      </c>
    </row>
    <row r="854" spans="1:3" ht="15">
      <c r="A854" s="77" t="s">
        <v>254</v>
      </c>
      <c r="B854" s="76" t="s">
        <v>2438</v>
      </c>
      <c r="C854" s="80" t="s">
        <v>975</v>
      </c>
    </row>
    <row r="855" spans="1:3" ht="15">
      <c r="A855" s="77" t="s">
        <v>254</v>
      </c>
      <c r="B855" s="76" t="s">
        <v>2452</v>
      </c>
      <c r="C855" s="80" t="s">
        <v>975</v>
      </c>
    </row>
    <row r="856" spans="1:3" ht="15">
      <c r="A856" s="77" t="s">
        <v>254</v>
      </c>
      <c r="B856" s="76" t="s">
        <v>2660</v>
      </c>
      <c r="C856" s="80" t="s">
        <v>975</v>
      </c>
    </row>
    <row r="857" spans="1:3" ht="15">
      <c r="A857" s="77" t="s">
        <v>254</v>
      </c>
      <c r="B857" s="76" t="s">
        <v>2745</v>
      </c>
      <c r="C857" s="80" t="s">
        <v>975</v>
      </c>
    </row>
    <row r="858" spans="1:3" ht="15">
      <c r="A858" s="77" t="s">
        <v>254</v>
      </c>
      <c r="B858" s="76" t="s">
        <v>3198</v>
      </c>
      <c r="C858" s="80" t="s">
        <v>975</v>
      </c>
    </row>
    <row r="859" spans="1:3" ht="15">
      <c r="A859" s="77" t="s">
        <v>254</v>
      </c>
      <c r="B859" s="76" t="s">
        <v>3199</v>
      </c>
      <c r="C859" s="80" t="s">
        <v>975</v>
      </c>
    </row>
    <row r="860" spans="1:3" ht="15">
      <c r="A860" s="77" t="s">
        <v>254</v>
      </c>
      <c r="B860" s="76" t="s">
        <v>3200</v>
      </c>
      <c r="C860" s="80" t="s">
        <v>975</v>
      </c>
    </row>
    <row r="861" spans="1:3" ht="15">
      <c r="A861" s="77" t="s">
        <v>254</v>
      </c>
      <c r="B861" s="76" t="s">
        <v>3201</v>
      </c>
      <c r="C861" s="80" t="s">
        <v>975</v>
      </c>
    </row>
    <row r="862" spans="1:3" ht="15">
      <c r="A862" s="77" t="s">
        <v>254</v>
      </c>
      <c r="B862" s="76" t="s">
        <v>3202</v>
      </c>
      <c r="C862" s="80" t="s">
        <v>975</v>
      </c>
    </row>
    <row r="863" spans="1:3" ht="15">
      <c r="A863" s="77" t="s">
        <v>254</v>
      </c>
      <c r="B863" s="76">
        <v>44</v>
      </c>
      <c r="C863" s="80" t="s">
        <v>975</v>
      </c>
    </row>
    <row r="864" spans="1:3" ht="15">
      <c r="A864" s="77" t="s">
        <v>254</v>
      </c>
      <c r="B864" s="76" t="s">
        <v>370</v>
      </c>
      <c r="C864" s="80" t="s">
        <v>975</v>
      </c>
    </row>
    <row r="865" spans="1:3" ht="15">
      <c r="A865" s="77" t="s">
        <v>254</v>
      </c>
      <c r="B865" s="76" t="s">
        <v>371</v>
      </c>
      <c r="C865" s="80" t="s">
        <v>975</v>
      </c>
    </row>
    <row r="866" spans="1:3" ht="15">
      <c r="A866" s="77" t="s">
        <v>305</v>
      </c>
      <c r="B866" s="76" t="s">
        <v>3203</v>
      </c>
      <c r="C866" s="80" t="s">
        <v>1030</v>
      </c>
    </row>
    <row r="867" spans="1:3" ht="15">
      <c r="A867" s="77" t="s">
        <v>305</v>
      </c>
      <c r="B867" s="76" t="s">
        <v>3204</v>
      </c>
      <c r="C867" s="80" t="s">
        <v>1030</v>
      </c>
    </row>
    <row r="868" spans="1:3" ht="15">
      <c r="A868" s="77" t="s">
        <v>305</v>
      </c>
      <c r="B868" s="76" t="s">
        <v>3205</v>
      </c>
      <c r="C868" s="80" t="s">
        <v>1030</v>
      </c>
    </row>
    <row r="869" spans="1:3" ht="15">
      <c r="A869" s="77" t="s">
        <v>305</v>
      </c>
      <c r="B869" s="76" t="s">
        <v>2444</v>
      </c>
      <c r="C869" s="80" t="s">
        <v>1030</v>
      </c>
    </row>
    <row r="870" spans="1:3" ht="15">
      <c r="A870" s="77" t="s">
        <v>305</v>
      </c>
      <c r="B870" s="76" t="s">
        <v>3206</v>
      </c>
      <c r="C870" s="80" t="s">
        <v>1030</v>
      </c>
    </row>
    <row r="871" spans="1:3" ht="15">
      <c r="A871" s="77" t="s">
        <v>305</v>
      </c>
      <c r="B871" s="76" t="s">
        <v>3207</v>
      </c>
      <c r="C871" s="80" t="s">
        <v>1030</v>
      </c>
    </row>
    <row r="872" spans="1:3" ht="15">
      <c r="A872" s="77" t="s">
        <v>305</v>
      </c>
      <c r="B872" s="76" t="s">
        <v>2632</v>
      </c>
      <c r="C872" s="80" t="s">
        <v>1030</v>
      </c>
    </row>
    <row r="873" spans="1:3" ht="15">
      <c r="A873" s="77" t="s">
        <v>305</v>
      </c>
      <c r="B873" s="76" t="s">
        <v>3208</v>
      </c>
      <c r="C873" s="80" t="s">
        <v>1030</v>
      </c>
    </row>
    <row r="874" spans="1:3" ht="15">
      <c r="A874" s="77" t="s">
        <v>305</v>
      </c>
      <c r="B874" s="76" t="s">
        <v>3209</v>
      </c>
      <c r="C874" s="80" t="s">
        <v>1030</v>
      </c>
    </row>
    <row r="875" spans="1:3" ht="15">
      <c r="A875" s="77" t="s">
        <v>305</v>
      </c>
      <c r="B875" s="76" t="s">
        <v>2589</v>
      </c>
      <c r="C875" s="80" t="s">
        <v>1030</v>
      </c>
    </row>
    <row r="876" spans="1:3" ht="15">
      <c r="A876" s="77" t="s">
        <v>305</v>
      </c>
      <c r="B876" s="76" t="s">
        <v>3210</v>
      </c>
      <c r="C876" s="80" t="s">
        <v>1030</v>
      </c>
    </row>
    <row r="877" spans="1:3" ht="15">
      <c r="A877" s="77" t="s">
        <v>305</v>
      </c>
      <c r="B877" s="76" t="s">
        <v>2554</v>
      </c>
      <c r="C877" s="80" t="s">
        <v>1030</v>
      </c>
    </row>
    <row r="878" spans="1:3" ht="15">
      <c r="A878" s="77" t="s">
        <v>305</v>
      </c>
      <c r="B878" s="76" t="s">
        <v>3211</v>
      </c>
      <c r="C878" s="80" t="s">
        <v>1030</v>
      </c>
    </row>
    <row r="879" spans="1:3" ht="15">
      <c r="A879" s="77" t="s">
        <v>305</v>
      </c>
      <c r="B879" s="76" t="s">
        <v>3212</v>
      </c>
      <c r="C879" s="80" t="s">
        <v>1030</v>
      </c>
    </row>
    <row r="880" spans="1:3" ht="15">
      <c r="A880" s="77" t="s">
        <v>305</v>
      </c>
      <c r="B880" s="76">
        <v>10</v>
      </c>
      <c r="C880" s="80" t="s">
        <v>1030</v>
      </c>
    </row>
    <row r="881" spans="1:3" ht="15">
      <c r="A881" s="77" t="s">
        <v>305</v>
      </c>
      <c r="B881" s="76" t="s">
        <v>2446</v>
      </c>
      <c r="C881" s="80" t="s">
        <v>1030</v>
      </c>
    </row>
    <row r="882" spans="1:3" ht="15">
      <c r="A882" s="77" t="s">
        <v>305</v>
      </c>
      <c r="B882" s="76" t="s">
        <v>2644</v>
      </c>
      <c r="C882" s="80" t="s">
        <v>1030</v>
      </c>
    </row>
    <row r="883" spans="1:3" ht="15">
      <c r="A883" s="77" t="s">
        <v>305</v>
      </c>
      <c r="B883" s="76" t="s">
        <v>3213</v>
      </c>
      <c r="C883" s="80" t="s">
        <v>1030</v>
      </c>
    </row>
    <row r="884" spans="1:3" ht="15">
      <c r="A884" s="77" t="s">
        <v>305</v>
      </c>
      <c r="B884" s="76" t="s">
        <v>2523</v>
      </c>
      <c r="C884" s="80" t="s">
        <v>1030</v>
      </c>
    </row>
    <row r="885" spans="1:3" ht="15">
      <c r="A885" s="77" t="s">
        <v>305</v>
      </c>
      <c r="B885" s="76" t="s">
        <v>2752</v>
      </c>
      <c r="C885" s="80" t="s">
        <v>1030</v>
      </c>
    </row>
    <row r="886" spans="1:3" ht="15">
      <c r="A886" s="77" t="s">
        <v>305</v>
      </c>
      <c r="B886" s="76" t="s">
        <v>2654</v>
      </c>
      <c r="C886" s="80" t="s">
        <v>1030</v>
      </c>
    </row>
    <row r="887" spans="1:3" ht="15">
      <c r="A887" s="77" t="s">
        <v>305</v>
      </c>
      <c r="B887" s="76" t="s">
        <v>2732</v>
      </c>
      <c r="C887" s="80" t="s">
        <v>1030</v>
      </c>
    </row>
    <row r="888" spans="1:3" ht="15">
      <c r="A888" s="77" t="s">
        <v>305</v>
      </c>
      <c r="B888" s="76" t="s">
        <v>3214</v>
      </c>
      <c r="C888" s="80" t="s">
        <v>1030</v>
      </c>
    </row>
    <row r="889" spans="1:3" ht="15">
      <c r="A889" s="77" t="s">
        <v>305</v>
      </c>
      <c r="B889" s="76" t="s">
        <v>3215</v>
      </c>
      <c r="C889" s="80" t="s">
        <v>1030</v>
      </c>
    </row>
    <row r="890" spans="1:3" ht="15">
      <c r="A890" s="77" t="s">
        <v>305</v>
      </c>
      <c r="B890" s="76" t="s">
        <v>3216</v>
      </c>
      <c r="C890" s="80" t="s">
        <v>1030</v>
      </c>
    </row>
    <row r="891" spans="1:3" ht="15">
      <c r="A891" s="77" t="s">
        <v>305</v>
      </c>
      <c r="B891" s="76" t="s">
        <v>2788</v>
      </c>
      <c r="C891" s="80" t="s">
        <v>1030</v>
      </c>
    </row>
    <row r="892" spans="1:3" ht="15">
      <c r="A892" s="77" t="s">
        <v>281</v>
      </c>
      <c r="B892" s="76" t="s">
        <v>2680</v>
      </c>
      <c r="C892" s="80" t="s">
        <v>1003</v>
      </c>
    </row>
    <row r="893" spans="1:3" ht="15">
      <c r="A893" s="77" t="s">
        <v>281</v>
      </c>
      <c r="B893" s="76" t="s">
        <v>2497</v>
      </c>
      <c r="C893" s="80" t="s">
        <v>1003</v>
      </c>
    </row>
    <row r="894" spans="1:3" ht="15">
      <c r="A894" s="77" t="s">
        <v>281</v>
      </c>
      <c r="B894" s="76" t="s">
        <v>2734</v>
      </c>
      <c r="C894" s="80" t="s">
        <v>1003</v>
      </c>
    </row>
    <row r="895" spans="1:3" ht="15">
      <c r="A895" s="77" t="s">
        <v>281</v>
      </c>
      <c r="B895" s="76" t="s">
        <v>2446</v>
      </c>
      <c r="C895" s="80" t="s">
        <v>1003</v>
      </c>
    </row>
    <row r="896" spans="1:3" ht="15">
      <c r="A896" s="77" t="s">
        <v>281</v>
      </c>
      <c r="B896" s="76" t="s">
        <v>2687</v>
      </c>
      <c r="C896" s="80" t="s">
        <v>1003</v>
      </c>
    </row>
    <row r="897" spans="1:3" ht="15">
      <c r="A897" s="77" t="s">
        <v>281</v>
      </c>
      <c r="B897" s="76" t="s">
        <v>2560</v>
      </c>
      <c r="C897" s="80" t="s">
        <v>1003</v>
      </c>
    </row>
    <row r="898" spans="1:3" ht="15">
      <c r="A898" s="77" t="s">
        <v>281</v>
      </c>
      <c r="B898" s="76" t="s">
        <v>2471</v>
      </c>
      <c r="C898" s="80" t="s">
        <v>1003</v>
      </c>
    </row>
    <row r="899" spans="1:3" ht="15">
      <c r="A899" s="77" t="s">
        <v>281</v>
      </c>
      <c r="B899" s="76">
        <v>0</v>
      </c>
      <c r="C899" s="80" t="s">
        <v>1003</v>
      </c>
    </row>
    <row r="900" spans="1:3" ht="15">
      <c r="A900" s="77" t="s">
        <v>281</v>
      </c>
      <c r="B900" s="76">
        <v>10</v>
      </c>
      <c r="C900" s="80" t="s">
        <v>1003</v>
      </c>
    </row>
    <row r="901" spans="1:3" ht="15">
      <c r="A901" s="77" t="s">
        <v>281</v>
      </c>
      <c r="B901" s="76" t="s">
        <v>2592</v>
      </c>
      <c r="C901" s="80" t="s">
        <v>1003</v>
      </c>
    </row>
    <row r="902" spans="1:3" ht="15">
      <c r="A902" s="77" t="s">
        <v>281</v>
      </c>
      <c r="B902" s="76" t="s">
        <v>2438</v>
      </c>
      <c r="C902" s="80" t="s">
        <v>1003</v>
      </c>
    </row>
    <row r="903" spans="1:3" ht="15">
      <c r="A903" s="77" t="s">
        <v>281</v>
      </c>
      <c r="B903" s="76" t="s">
        <v>2439</v>
      </c>
      <c r="C903" s="80" t="s">
        <v>1003</v>
      </c>
    </row>
    <row r="904" spans="1:3" ht="15">
      <c r="A904" s="77" t="s">
        <v>281</v>
      </c>
      <c r="B904" s="76" t="s">
        <v>2562</v>
      </c>
      <c r="C904" s="80" t="s">
        <v>1003</v>
      </c>
    </row>
    <row r="905" spans="1:3" ht="15">
      <c r="A905" s="77" t="s">
        <v>281</v>
      </c>
      <c r="B905" s="76" t="s">
        <v>2536</v>
      </c>
      <c r="C905" s="80" t="s">
        <v>1003</v>
      </c>
    </row>
    <row r="906" spans="1:3" ht="15">
      <c r="A906" s="77" t="s">
        <v>281</v>
      </c>
      <c r="B906" s="76" t="s">
        <v>2468</v>
      </c>
      <c r="C906" s="80" t="s">
        <v>1003</v>
      </c>
    </row>
    <row r="907" spans="1:3" ht="15">
      <c r="A907" s="77" t="s">
        <v>281</v>
      </c>
      <c r="B907" s="76" t="s">
        <v>2441</v>
      </c>
      <c r="C907" s="80" t="s">
        <v>1003</v>
      </c>
    </row>
    <row r="908" spans="1:3" ht="15">
      <c r="A908" s="77" t="s">
        <v>281</v>
      </c>
      <c r="B908" s="76" t="s">
        <v>2445</v>
      </c>
      <c r="C908" s="80" t="s">
        <v>1003</v>
      </c>
    </row>
    <row r="909" spans="1:3" ht="15">
      <c r="A909" s="77" t="s">
        <v>329</v>
      </c>
      <c r="B909" s="76" t="s">
        <v>2438</v>
      </c>
      <c r="C909" s="80" t="s">
        <v>1069</v>
      </c>
    </row>
    <row r="910" spans="1:3" ht="15">
      <c r="A910" s="77" t="s">
        <v>329</v>
      </c>
      <c r="B910" s="76" t="s">
        <v>2439</v>
      </c>
      <c r="C910" s="80" t="s">
        <v>1069</v>
      </c>
    </row>
    <row r="911" spans="1:3" ht="15">
      <c r="A911" s="77" t="s">
        <v>329</v>
      </c>
      <c r="B911" s="76" t="s">
        <v>3217</v>
      </c>
      <c r="C911" s="80" t="s">
        <v>1069</v>
      </c>
    </row>
    <row r="912" spans="1:3" ht="15">
      <c r="A912" s="77" t="s">
        <v>329</v>
      </c>
      <c r="B912" s="76" t="s">
        <v>3218</v>
      </c>
      <c r="C912" s="80" t="s">
        <v>1069</v>
      </c>
    </row>
    <row r="913" spans="1:3" ht="15">
      <c r="A913" s="77" t="s">
        <v>329</v>
      </c>
      <c r="B913" s="76" t="s">
        <v>3219</v>
      </c>
      <c r="C913" s="80" t="s">
        <v>1069</v>
      </c>
    </row>
    <row r="914" spans="1:3" ht="15">
      <c r="A914" s="77" t="s">
        <v>329</v>
      </c>
      <c r="B914" s="76" t="s">
        <v>3220</v>
      </c>
      <c r="C914" s="80" t="s">
        <v>1069</v>
      </c>
    </row>
    <row r="915" spans="1:3" ht="15">
      <c r="A915" s="77" t="s">
        <v>329</v>
      </c>
      <c r="B915" s="76" t="s">
        <v>2777</v>
      </c>
      <c r="C915" s="80" t="s">
        <v>1069</v>
      </c>
    </row>
    <row r="916" spans="1:3" ht="15">
      <c r="A916" s="77" t="s">
        <v>329</v>
      </c>
      <c r="B916" s="76" t="s">
        <v>2529</v>
      </c>
      <c r="C916" s="80" t="s">
        <v>1069</v>
      </c>
    </row>
    <row r="917" spans="1:3" ht="15">
      <c r="A917" s="77" t="s">
        <v>329</v>
      </c>
      <c r="B917" s="76" t="s">
        <v>3221</v>
      </c>
      <c r="C917" s="80" t="s">
        <v>1069</v>
      </c>
    </row>
    <row r="918" spans="1:3" ht="15">
      <c r="A918" s="77" t="s">
        <v>329</v>
      </c>
      <c r="B918" s="76" t="s">
        <v>3222</v>
      </c>
      <c r="C918" s="80" t="s">
        <v>1069</v>
      </c>
    </row>
    <row r="919" spans="1:3" ht="15">
      <c r="A919" s="77" t="s">
        <v>329</v>
      </c>
      <c r="B919" s="76" t="s">
        <v>429</v>
      </c>
      <c r="C919" s="80" t="s">
        <v>1069</v>
      </c>
    </row>
    <row r="920" spans="1:3" ht="15">
      <c r="A920" s="77" t="s">
        <v>339</v>
      </c>
      <c r="B920" s="76" t="s">
        <v>436</v>
      </c>
      <c r="C920" s="80" t="s">
        <v>1080</v>
      </c>
    </row>
    <row r="921" spans="1:3" ht="15">
      <c r="A921" s="77" t="s">
        <v>339</v>
      </c>
      <c r="B921" s="76" t="s">
        <v>3223</v>
      </c>
      <c r="C921" s="80" t="s">
        <v>1080</v>
      </c>
    </row>
    <row r="922" spans="1:3" ht="15">
      <c r="A922" s="77" t="s">
        <v>339</v>
      </c>
      <c r="B922" s="76" t="s">
        <v>3224</v>
      </c>
      <c r="C922" s="80" t="s">
        <v>1080</v>
      </c>
    </row>
    <row r="923" spans="1:3" ht="15">
      <c r="A923" s="77" t="s">
        <v>339</v>
      </c>
      <c r="B923" s="76" t="s">
        <v>2717</v>
      </c>
      <c r="C923" s="80" t="s">
        <v>1080</v>
      </c>
    </row>
    <row r="924" spans="1:3" ht="15">
      <c r="A924" s="77" t="s">
        <v>339</v>
      </c>
      <c r="B924" s="76" t="s">
        <v>2450</v>
      </c>
      <c r="C924" s="80" t="s">
        <v>1080</v>
      </c>
    </row>
    <row r="925" spans="1:3" ht="15">
      <c r="A925" s="77" t="s">
        <v>339</v>
      </c>
      <c r="B925" s="76" t="s">
        <v>2506</v>
      </c>
      <c r="C925" s="80" t="s">
        <v>1080</v>
      </c>
    </row>
    <row r="926" spans="1:3" ht="15">
      <c r="A926" s="77" t="s">
        <v>339</v>
      </c>
      <c r="B926" s="76" t="s">
        <v>3225</v>
      </c>
      <c r="C926" s="80" t="s">
        <v>1080</v>
      </c>
    </row>
    <row r="927" spans="1:3" ht="15">
      <c r="A927" s="77" t="s">
        <v>339</v>
      </c>
      <c r="B927" s="76" t="s">
        <v>2494</v>
      </c>
      <c r="C927" s="80" t="s">
        <v>1080</v>
      </c>
    </row>
    <row r="928" spans="1:3" ht="15">
      <c r="A928" s="77" t="s">
        <v>339</v>
      </c>
      <c r="B928" s="76" t="s">
        <v>3226</v>
      </c>
      <c r="C928" s="80" t="s">
        <v>1080</v>
      </c>
    </row>
    <row r="929" spans="1:3" ht="15">
      <c r="A929" s="77" t="s">
        <v>339</v>
      </c>
      <c r="B929" s="76" t="s">
        <v>3227</v>
      </c>
      <c r="C929" s="80" t="s">
        <v>1080</v>
      </c>
    </row>
    <row r="930" spans="1:3" ht="15">
      <c r="A930" s="77" t="s">
        <v>339</v>
      </c>
      <c r="B930" s="76" t="s">
        <v>2655</v>
      </c>
      <c r="C930" s="80" t="s">
        <v>1080</v>
      </c>
    </row>
    <row r="931" spans="1:3" ht="15">
      <c r="A931" s="77" t="s">
        <v>339</v>
      </c>
      <c r="B931" s="76" t="s">
        <v>3228</v>
      </c>
      <c r="C931" s="80" t="s">
        <v>1080</v>
      </c>
    </row>
    <row r="932" spans="1:3" ht="15">
      <c r="A932" s="77" t="s">
        <v>339</v>
      </c>
      <c r="B932" s="76" t="s">
        <v>2438</v>
      </c>
      <c r="C932" s="80" t="s">
        <v>1080</v>
      </c>
    </row>
    <row r="933" spans="1:3" ht="15">
      <c r="A933" s="77" t="s">
        <v>339</v>
      </c>
      <c r="B933" s="76" t="s">
        <v>2691</v>
      </c>
      <c r="C933" s="80" t="s">
        <v>1080</v>
      </c>
    </row>
    <row r="934" spans="1:3" ht="15">
      <c r="A934" s="77" t="s">
        <v>339</v>
      </c>
      <c r="B934" s="76" t="s">
        <v>3229</v>
      </c>
      <c r="C934" s="80" t="s">
        <v>1080</v>
      </c>
    </row>
    <row r="935" spans="1:3" ht="15">
      <c r="A935" s="77" t="s">
        <v>339</v>
      </c>
      <c r="B935" s="76" t="s">
        <v>2459</v>
      </c>
      <c r="C935" s="80" t="s">
        <v>1080</v>
      </c>
    </row>
    <row r="936" spans="1:3" ht="15">
      <c r="A936" s="77" t="s">
        <v>317</v>
      </c>
      <c r="B936" s="76" t="s">
        <v>417</v>
      </c>
      <c r="C936" s="80" t="s">
        <v>1052</v>
      </c>
    </row>
    <row r="937" spans="1:3" ht="15">
      <c r="A937" s="77" t="s">
        <v>317</v>
      </c>
      <c r="B937" s="76" t="s">
        <v>2564</v>
      </c>
      <c r="C937" s="80" t="s">
        <v>1052</v>
      </c>
    </row>
    <row r="938" spans="1:3" ht="15">
      <c r="A938" s="77" t="s">
        <v>317</v>
      </c>
      <c r="B938" s="76" t="s">
        <v>2511</v>
      </c>
      <c r="C938" s="80" t="s">
        <v>1052</v>
      </c>
    </row>
    <row r="939" spans="1:3" ht="15">
      <c r="A939" s="77" t="s">
        <v>317</v>
      </c>
      <c r="B939" s="76" t="s">
        <v>3230</v>
      </c>
      <c r="C939" s="80" t="s">
        <v>1052</v>
      </c>
    </row>
    <row r="940" spans="1:3" ht="15">
      <c r="A940" s="77" t="s">
        <v>317</v>
      </c>
      <c r="B940" s="76" t="s">
        <v>2449</v>
      </c>
      <c r="C940" s="80" t="s">
        <v>1052</v>
      </c>
    </row>
    <row r="941" spans="1:3" ht="15">
      <c r="A941" s="77" t="s">
        <v>317</v>
      </c>
      <c r="B941" s="76" t="s">
        <v>2469</v>
      </c>
      <c r="C941" s="80" t="s">
        <v>1052</v>
      </c>
    </row>
    <row r="942" spans="1:3" ht="15">
      <c r="A942" s="77" t="s">
        <v>317</v>
      </c>
      <c r="B942" s="76" t="s">
        <v>2753</v>
      </c>
      <c r="C942" s="80" t="s">
        <v>1052</v>
      </c>
    </row>
    <row r="943" spans="1:3" ht="15">
      <c r="A943" s="77" t="s">
        <v>317</v>
      </c>
      <c r="B943" s="76" t="s">
        <v>3231</v>
      </c>
      <c r="C943" s="80" t="s">
        <v>1052</v>
      </c>
    </row>
    <row r="944" spans="1:3" ht="15">
      <c r="A944" s="77" t="s">
        <v>317</v>
      </c>
      <c r="B944" s="76" t="s">
        <v>3232</v>
      </c>
      <c r="C944" s="80" t="s">
        <v>1052</v>
      </c>
    </row>
    <row r="945" spans="1:3" ht="15">
      <c r="A945" s="77" t="s">
        <v>317</v>
      </c>
      <c r="B945" s="76" t="s">
        <v>3233</v>
      </c>
      <c r="C945" s="80" t="s">
        <v>1052</v>
      </c>
    </row>
    <row r="946" spans="1:3" ht="15">
      <c r="A946" s="77" t="s">
        <v>317</v>
      </c>
      <c r="B946" s="76" t="s">
        <v>2445</v>
      </c>
      <c r="C946" s="80" t="s">
        <v>1052</v>
      </c>
    </row>
    <row r="947" spans="1:3" ht="15">
      <c r="A947" s="77" t="s">
        <v>317</v>
      </c>
      <c r="B947" s="76" t="s">
        <v>2681</v>
      </c>
      <c r="C947" s="80" t="s">
        <v>1052</v>
      </c>
    </row>
    <row r="948" spans="1:3" ht="15">
      <c r="A948" s="77" t="s">
        <v>317</v>
      </c>
      <c r="B948" s="76" t="s">
        <v>3234</v>
      </c>
      <c r="C948" s="80" t="s">
        <v>1052</v>
      </c>
    </row>
    <row r="949" spans="1:3" ht="15">
      <c r="A949" s="77" t="s">
        <v>317</v>
      </c>
      <c r="B949" s="76" t="s">
        <v>3235</v>
      </c>
      <c r="C949" s="80" t="s">
        <v>1052</v>
      </c>
    </row>
    <row r="950" spans="1:3" ht="15">
      <c r="A950" s="77" t="s">
        <v>317</v>
      </c>
      <c r="B950" s="76" t="s">
        <v>3236</v>
      </c>
      <c r="C950" s="80" t="s">
        <v>1052</v>
      </c>
    </row>
    <row r="951" spans="1:3" ht="15">
      <c r="A951" s="77" t="s">
        <v>317</v>
      </c>
      <c r="B951" s="76" t="s">
        <v>3237</v>
      </c>
      <c r="C951" s="80" t="s">
        <v>1052</v>
      </c>
    </row>
    <row r="952" spans="1:3" ht="15">
      <c r="A952" s="77" t="s">
        <v>317</v>
      </c>
      <c r="B952" s="76" t="s">
        <v>3238</v>
      </c>
      <c r="C952" s="80" t="s">
        <v>1052</v>
      </c>
    </row>
    <row r="953" spans="1:3" ht="15">
      <c r="A953" s="77" t="s">
        <v>317</v>
      </c>
      <c r="B953" s="76" t="s">
        <v>3239</v>
      </c>
      <c r="C953" s="80" t="s">
        <v>1052</v>
      </c>
    </row>
    <row r="954" spans="1:3" ht="15">
      <c r="A954" s="77" t="s">
        <v>317</v>
      </c>
      <c r="B954" s="76" t="s">
        <v>3240</v>
      </c>
      <c r="C954" s="80" t="s">
        <v>1052</v>
      </c>
    </row>
    <row r="955" spans="1:3" ht="15">
      <c r="A955" s="77" t="s">
        <v>317</v>
      </c>
      <c r="B955" s="76" t="s">
        <v>3241</v>
      </c>
      <c r="C955" s="80" t="s">
        <v>1052</v>
      </c>
    </row>
    <row r="956" spans="1:3" ht="15">
      <c r="A956" s="77" t="s">
        <v>317</v>
      </c>
      <c r="B956" s="76" t="s">
        <v>595</v>
      </c>
      <c r="C956" s="80" t="s">
        <v>1052</v>
      </c>
    </row>
    <row r="957" spans="1:3" ht="15">
      <c r="A957" s="77" t="s">
        <v>317</v>
      </c>
      <c r="B957" s="76" t="s">
        <v>3242</v>
      </c>
      <c r="C957" s="80" t="s">
        <v>1052</v>
      </c>
    </row>
    <row r="958" spans="1:3" ht="15">
      <c r="A958" s="77" t="s">
        <v>317</v>
      </c>
      <c r="B958" s="76" t="s">
        <v>2444</v>
      </c>
      <c r="C958" s="80" t="s">
        <v>1052</v>
      </c>
    </row>
    <row r="959" spans="1:3" ht="15">
      <c r="A959" s="77" t="s">
        <v>317</v>
      </c>
      <c r="B959" s="76" t="s">
        <v>3243</v>
      </c>
      <c r="C959" s="80" t="s">
        <v>1052</v>
      </c>
    </row>
    <row r="960" spans="1:3" ht="15">
      <c r="A960" s="77" t="s">
        <v>242</v>
      </c>
      <c r="B960" s="76" t="s">
        <v>3244</v>
      </c>
      <c r="C960" s="80" t="s">
        <v>961</v>
      </c>
    </row>
    <row r="961" spans="1:3" ht="15">
      <c r="A961" s="77" t="s">
        <v>242</v>
      </c>
      <c r="B961" s="76" t="s">
        <v>3245</v>
      </c>
      <c r="C961" s="80" t="s">
        <v>961</v>
      </c>
    </row>
    <row r="962" spans="1:3" ht="15">
      <c r="A962" s="77" t="s">
        <v>242</v>
      </c>
      <c r="B962" s="76" t="s">
        <v>2438</v>
      </c>
      <c r="C962" s="80" t="s">
        <v>961</v>
      </c>
    </row>
    <row r="963" spans="1:3" ht="15">
      <c r="A963" s="77" t="s">
        <v>242</v>
      </c>
      <c r="B963" s="76" t="s">
        <v>3246</v>
      </c>
      <c r="C963" s="80" t="s">
        <v>961</v>
      </c>
    </row>
    <row r="964" spans="1:3" ht="15">
      <c r="A964" s="77" t="s">
        <v>242</v>
      </c>
      <c r="B964" s="76" t="s">
        <v>3247</v>
      </c>
      <c r="C964" s="80" t="s">
        <v>961</v>
      </c>
    </row>
    <row r="965" spans="1:3" ht="15">
      <c r="A965" s="77" t="s">
        <v>242</v>
      </c>
      <c r="B965" s="76" t="s">
        <v>3248</v>
      </c>
      <c r="C965" s="80" t="s">
        <v>961</v>
      </c>
    </row>
    <row r="966" spans="1:3" ht="15">
      <c r="A966" s="77" t="s">
        <v>242</v>
      </c>
      <c r="B966" s="76" t="s">
        <v>3249</v>
      </c>
      <c r="C966" s="80" t="s">
        <v>961</v>
      </c>
    </row>
    <row r="967" spans="1:3" ht="15">
      <c r="A967" s="77" t="s">
        <v>242</v>
      </c>
      <c r="B967" s="76" t="s">
        <v>3250</v>
      </c>
      <c r="C967" s="80" t="s">
        <v>961</v>
      </c>
    </row>
    <row r="968" spans="1:3" ht="15">
      <c r="A968" s="77" t="s">
        <v>242</v>
      </c>
      <c r="B968" s="76" t="s">
        <v>3251</v>
      </c>
      <c r="C968" s="80" t="s">
        <v>961</v>
      </c>
    </row>
    <row r="969" spans="1:3" ht="15">
      <c r="A969" s="77" t="s">
        <v>242</v>
      </c>
      <c r="B969" s="76" t="s">
        <v>3252</v>
      </c>
      <c r="C969" s="80" t="s">
        <v>961</v>
      </c>
    </row>
    <row r="970" spans="1:3" ht="15">
      <c r="A970" s="77" t="s">
        <v>242</v>
      </c>
      <c r="B970" s="76" t="s">
        <v>3253</v>
      </c>
      <c r="C970" s="80" t="s">
        <v>961</v>
      </c>
    </row>
    <row r="971" spans="1:3" ht="15">
      <c r="A971" s="77" t="s">
        <v>242</v>
      </c>
      <c r="B971" s="76" t="s">
        <v>3254</v>
      </c>
      <c r="C971" s="80" t="s">
        <v>961</v>
      </c>
    </row>
    <row r="972" spans="1:3" ht="15">
      <c r="A972" s="77" t="s">
        <v>242</v>
      </c>
      <c r="B972" s="76" t="s">
        <v>3255</v>
      </c>
      <c r="C972" s="80" t="s">
        <v>961</v>
      </c>
    </row>
    <row r="973" spans="1:3" ht="15">
      <c r="A973" s="77" t="s">
        <v>242</v>
      </c>
      <c r="B973" s="76" t="s">
        <v>2518</v>
      </c>
      <c r="C973" s="80" t="s">
        <v>961</v>
      </c>
    </row>
    <row r="974" spans="1:3" ht="15">
      <c r="A974" s="77" t="s">
        <v>242</v>
      </c>
      <c r="B974" s="76" t="s">
        <v>3256</v>
      </c>
      <c r="C974" s="80" t="s">
        <v>961</v>
      </c>
    </row>
    <row r="975" spans="1:3" ht="15">
      <c r="A975" s="77" t="s">
        <v>242</v>
      </c>
      <c r="B975" s="76" t="s">
        <v>3257</v>
      </c>
      <c r="C975" s="80" t="s">
        <v>961</v>
      </c>
    </row>
    <row r="976" spans="1:3" ht="15">
      <c r="A976" s="77" t="s">
        <v>242</v>
      </c>
      <c r="B976" s="76" t="s">
        <v>2628</v>
      </c>
      <c r="C976" s="80" t="s">
        <v>961</v>
      </c>
    </row>
    <row r="977" spans="1:3" ht="15">
      <c r="A977" s="77" t="s">
        <v>242</v>
      </c>
      <c r="B977" s="76" t="s">
        <v>2533</v>
      </c>
      <c r="C977" s="80" t="s">
        <v>961</v>
      </c>
    </row>
    <row r="978" spans="1:3" ht="15">
      <c r="A978" s="77" t="s">
        <v>242</v>
      </c>
      <c r="B978" s="76" t="s">
        <v>3258</v>
      </c>
      <c r="C978" s="80" t="s">
        <v>961</v>
      </c>
    </row>
    <row r="979" spans="1:3" ht="15">
      <c r="A979" s="77" t="s">
        <v>242</v>
      </c>
      <c r="B979" s="76" t="s">
        <v>2595</v>
      </c>
      <c r="C979" s="80" t="s">
        <v>961</v>
      </c>
    </row>
    <row r="980" spans="1:3" ht="15">
      <c r="A980" s="77" t="s">
        <v>242</v>
      </c>
      <c r="B980" s="76" t="s">
        <v>3259</v>
      </c>
      <c r="C980" s="80" t="s">
        <v>961</v>
      </c>
    </row>
    <row r="981" spans="1:3" ht="15">
      <c r="A981" s="77" t="s">
        <v>288</v>
      </c>
      <c r="B981" s="76" t="s">
        <v>3260</v>
      </c>
      <c r="C981" s="80" t="s">
        <v>1011</v>
      </c>
    </row>
    <row r="982" spans="1:3" ht="15">
      <c r="A982" s="77" t="s">
        <v>288</v>
      </c>
      <c r="B982" s="76" t="s">
        <v>2438</v>
      </c>
      <c r="C982" s="80" t="s">
        <v>1011</v>
      </c>
    </row>
    <row r="983" spans="1:3" ht="15">
      <c r="A983" s="77" t="s">
        <v>288</v>
      </c>
      <c r="B983" s="76" t="s">
        <v>2439</v>
      </c>
      <c r="C983" s="80" t="s">
        <v>1011</v>
      </c>
    </row>
    <row r="984" spans="1:3" ht="15">
      <c r="A984" s="77" t="s">
        <v>288</v>
      </c>
      <c r="B984" s="76" t="s">
        <v>3261</v>
      </c>
      <c r="C984" s="80" t="s">
        <v>1011</v>
      </c>
    </row>
    <row r="985" spans="1:3" ht="15">
      <c r="A985" s="77" t="s">
        <v>288</v>
      </c>
      <c r="B985" s="76" t="s">
        <v>2636</v>
      </c>
      <c r="C985" s="80" t="s">
        <v>1011</v>
      </c>
    </row>
    <row r="986" spans="1:3" ht="15">
      <c r="A986" s="77" t="s">
        <v>288</v>
      </c>
      <c r="B986" s="76" t="s">
        <v>2673</v>
      </c>
      <c r="C986" s="80" t="s">
        <v>1011</v>
      </c>
    </row>
    <row r="987" spans="1:3" ht="15">
      <c r="A987" s="77" t="s">
        <v>288</v>
      </c>
      <c r="B987" s="76" t="s">
        <v>2760</v>
      </c>
      <c r="C987" s="80" t="s">
        <v>1011</v>
      </c>
    </row>
    <row r="988" spans="1:3" ht="15">
      <c r="A988" s="77" t="s">
        <v>288</v>
      </c>
      <c r="B988" s="76" t="s">
        <v>3262</v>
      </c>
      <c r="C988" s="80" t="s">
        <v>1011</v>
      </c>
    </row>
    <row r="989" spans="1:3" ht="15">
      <c r="A989" s="77" t="s">
        <v>288</v>
      </c>
      <c r="B989" s="76" t="s">
        <v>3263</v>
      </c>
      <c r="C989" s="80" t="s">
        <v>1011</v>
      </c>
    </row>
    <row r="990" spans="1:3" ht="15">
      <c r="A990" s="77" t="s">
        <v>288</v>
      </c>
      <c r="B990" s="76" t="s">
        <v>2440</v>
      </c>
      <c r="C990" s="80" t="s">
        <v>1011</v>
      </c>
    </row>
    <row r="991" spans="1:3" ht="15">
      <c r="A991" s="77" t="s">
        <v>288</v>
      </c>
      <c r="B991" s="76" t="s">
        <v>2530</v>
      </c>
      <c r="C991" s="80" t="s">
        <v>1011</v>
      </c>
    </row>
    <row r="992" spans="1:3" ht="15">
      <c r="A992" s="77" t="s">
        <v>288</v>
      </c>
      <c r="B992" s="76" t="s">
        <v>2531</v>
      </c>
      <c r="C992" s="80" t="s">
        <v>1011</v>
      </c>
    </row>
    <row r="993" spans="1:3" ht="15">
      <c r="A993" s="77" t="s">
        <v>288</v>
      </c>
      <c r="B993" s="76" t="s">
        <v>2583</v>
      </c>
      <c r="C993" s="80" t="s">
        <v>1011</v>
      </c>
    </row>
    <row r="994" spans="1:3" ht="15">
      <c r="A994" s="77" t="s">
        <v>288</v>
      </c>
      <c r="B994" s="76">
        <v>19</v>
      </c>
      <c r="C994" s="80" t="s">
        <v>1011</v>
      </c>
    </row>
    <row r="995" spans="1:3" ht="15">
      <c r="A995" s="77" t="s">
        <v>288</v>
      </c>
      <c r="B995" s="76" t="s">
        <v>2490</v>
      </c>
      <c r="C995" s="80" t="s">
        <v>1011</v>
      </c>
    </row>
    <row r="996" spans="1:3" ht="15">
      <c r="A996" s="77" t="s">
        <v>288</v>
      </c>
      <c r="B996" s="76" t="s">
        <v>3264</v>
      </c>
      <c r="C996" s="80" t="s">
        <v>1011</v>
      </c>
    </row>
    <row r="997" spans="1:3" ht="15">
      <c r="A997" s="77" t="s">
        <v>288</v>
      </c>
      <c r="B997" s="76" t="s">
        <v>392</v>
      </c>
      <c r="C997" s="80" t="s">
        <v>1011</v>
      </c>
    </row>
    <row r="998" spans="1:3" ht="15">
      <c r="A998" s="77" t="s">
        <v>288</v>
      </c>
      <c r="B998" s="76" t="s">
        <v>393</v>
      </c>
      <c r="C998" s="80" t="s">
        <v>1011</v>
      </c>
    </row>
    <row r="999" spans="1:3" ht="15">
      <c r="A999" s="77" t="s">
        <v>288</v>
      </c>
      <c r="B999" s="76" t="s">
        <v>394</v>
      </c>
      <c r="C999" s="80" t="s">
        <v>1011</v>
      </c>
    </row>
    <row r="1000" spans="1:3" ht="15">
      <c r="A1000" s="77" t="s">
        <v>299</v>
      </c>
      <c r="B1000" s="76" t="s">
        <v>2438</v>
      </c>
      <c r="C1000" s="80" t="s">
        <v>1024</v>
      </c>
    </row>
    <row r="1001" spans="1:3" ht="15">
      <c r="A1001" s="77" t="s">
        <v>299</v>
      </c>
      <c r="B1001" s="76" t="s">
        <v>2452</v>
      </c>
      <c r="C1001" s="80" t="s">
        <v>1024</v>
      </c>
    </row>
    <row r="1002" spans="1:3" ht="15">
      <c r="A1002" s="77" t="s">
        <v>299</v>
      </c>
      <c r="B1002" s="76" t="s">
        <v>2730</v>
      </c>
      <c r="C1002" s="80" t="s">
        <v>1024</v>
      </c>
    </row>
    <row r="1003" spans="1:3" ht="15">
      <c r="A1003" s="77" t="s">
        <v>299</v>
      </c>
      <c r="B1003" s="76" t="s">
        <v>2564</v>
      </c>
      <c r="C1003" s="80" t="s">
        <v>1024</v>
      </c>
    </row>
    <row r="1004" spans="1:3" ht="15">
      <c r="A1004" s="77" t="s">
        <v>299</v>
      </c>
      <c r="B1004" s="76" t="s">
        <v>3265</v>
      </c>
      <c r="C1004" s="80" t="s">
        <v>1024</v>
      </c>
    </row>
    <row r="1005" spans="1:3" ht="15">
      <c r="A1005" s="77" t="s">
        <v>234</v>
      </c>
      <c r="B1005" s="76" t="s">
        <v>2570</v>
      </c>
      <c r="C1005" s="80" t="s">
        <v>952</v>
      </c>
    </row>
    <row r="1006" spans="1:3" ht="15">
      <c r="A1006" s="77" t="s">
        <v>234</v>
      </c>
      <c r="B1006" s="76" t="s">
        <v>2513</v>
      </c>
      <c r="C1006" s="80" t="s">
        <v>952</v>
      </c>
    </row>
    <row r="1007" spans="1:3" ht="15">
      <c r="A1007" s="77" t="s">
        <v>234</v>
      </c>
      <c r="B1007" s="76" t="s">
        <v>2656</v>
      </c>
      <c r="C1007" s="80" t="s">
        <v>952</v>
      </c>
    </row>
    <row r="1008" spans="1:3" ht="15">
      <c r="A1008" s="77" t="s">
        <v>234</v>
      </c>
      <c r="B1008" s="76" t="s">
        <v>2606</v>
      </c>
      <c r="C1008" s="80" t="s">
        <v>952</v>
      </c>
    </row>
    <row r="1009" spans="1:3" ht="15">
      <c r="A1009" s="77" t="s">
        <v>234</v>
      </c>
      <c r="B1009" s="76" t="s">
        <v>2634</v>
      </c>
      <c r="C1009" s="80" t="s">
        <v>952</v>
      </c>
    </row>
    <row r="1010" spans="1:3" ht="15">
      <c r="A1010" s="77" t="s">
        <v>234</v>
      </c>
      <c r="B1010" s="76" t="s">
        <v>2543</v>
      </c>
      <c r="C1010" s="80" t="s">
        <v>952</v>
      </c>
    </row>
    <row r="1011" spans="1:3" ht="15">
      <c r="A1011" s="77" t="s">
        <v>234</v>
      </c>
      <c r="B1011" s="76" t="s">
        <v>3266</v>
      </c>
      <c r="C1011" s="80" t="s">
        <v>952</v>
      </c>
    </row>
    <row r="1012" spans="1:3" ht="15">
      <c r="A1012" s="77" t="s">
        <v>234</v>
      </c>
      <c r="B1012" s="76" t="s">
        <v>3267</v>
      </c>
      <c r="C1012" s="80" t="s">
        <v>952</v>
      </c>
    </row>
    <row r="1013" spans="1:3" ht="15">
      <c r="A1013" s="77" t="s">
        <v>234</v>
      </c>
      <c r="B1013" s="76" t="s">
        <v>2645</v>
      </c>
      <c r="C1013" s="80" t="s">
        <v>952</v>
      </c>
    </row>
    <row r="1014" spans="1:3" ht="15">
      <c r="A1014" s="77" t="s">
        <v>234</v>
      </c>
      <c r="B1014" s="76" t="s">
        <v>3268</v>
      </c>
      <c r="C1014" s="80" t="s">
        <v>952</v>
      </c>
    </row>
    <row r="1015" spans="1:3" ht="15">
      <c r="A1015" s="77" t="s">
        <v>234</v>
      </c>
      <c r="B1015" s="76" t="s">
        <v>2657</v>
      </c>
      <c r="C1015" s="80" t="s">
        <v>952</v>
      </c>
    </row>
    <row r="1016" spans="1:3" ht="15">
      <c r="A1016" s="77" t="s">
        <v>234</v>
      </c>
      <c r="B1016" s="76" t="s">
        <v>2522</v>
      </c>
      <c r="C1016" s="80" t="s">
        <v>952</v>
      </c>
    </row>
    <row r="1017" spans="1:3" ht="15">
      <c r="A1017" s="77" t="s">
        <v>234</v>
      </c>
      <c r="B1017" s="76" t="s">
        <v>2714</v>
      </c>
      <c r="C1017" s="80" t="s">
        <v>952</v>
      </c>
    </row>
    <row r="1018" spans="1:3" ht="15">
      <c r="A1018" s="77" t="s">
        <v>234</v>
      </c>
      <c r="B1018" s="76">
        <v>80</v>
      </c>
      <c r="C1018" s="80" t="s">
        <v>952</v>
      </c>
    </row>
    <row r="1019" spans="1:3" ht="15">
      <c r="A1019" s="77" t="s">
        <v>234</v>
      </c>
      <c r="B1019" s="76" t="s">
        <v>3269</v>
      </c>
      <c r="C1019" s="80" t="s">
        <v>952</v>
      </c>
    </row>
    <row r="1020" spans="1:3" ht="15">
      <c r="A1020" s="77" t="s">
        <v>234</v>
      </c>
      <c r="B1020" s="76" t="s">
        <v>2438</v>
      </c>
      <c r="C1020" s="80" t="s">
        <v>952</v>
      </c>
    </row>
    <row r="1021" spans="1:3" ht="15">
      <c r="A1021" s="77" t="s">
        <v>234</v>
      </c>
      <c r="B1021" s="76" t="s">
        <v>2439</v>
      </c>
      <c r="C1021" s="80" t="s">
        <v>952</v>
      </c>
    </row>
    <row r="1022" spans="1:3" ht="15">
      <c r="A1022" s="77" t="s">
        <v>234</v>
      </c>
      <c r="B1022" s="76" t="s">
        <v>2470</v>
      </c>
      <c r="C1022" s="80" t="s">
        <v>952</v>
      </c>
    </row>
    <row r="1023" spans="1:3" ht="15">
      <c r="A1023" s="77" t="s">
        <v>234</v>
      </c>
      <c r="B1023" s="76" t="s">
        <v>2505</v>
      </c>
      <c r="C1023" s="80" t="s">
        <v>952</v>
      </c>
    </row>
    <row r="1024" spans="1:3" ht="15">
      <c r="A1024" s="77" t="s">
        <v>234</v>
      </c>
      <c r="B1024" s="76" t="s">
        <v>2440</v>
      </c>
      <c r="C1024" s="80" t="s">
        <v>952</v>
      </c>
    </row>
    <row r="1025" spans="1:3" ht="15">
      <c r="A1025" s="77" t="s">
        <v>234</v>
      </c>
      <c r="B1025" s="76" t="s">
        <v>2743</v>
      </c>
      <c r="C1025" s="80" t="s">
        <v>952</v>
      </c>
    </row>
    <row r="1026" spans="1:3" ht="15">
      <c r="A1026" s="77" t="s">
        <v>234</v>
      </c>
      <c r="B1026" s="76" t="s">
        <v>2761</v>
      </c>
      <c r="C1026" s="80" t="s">
        <v>952</v>
      </c>
    </row>
    <row r="1027" spans="1:3" ht="15">
      <c r="A1027" s="77" t="s">
        <v>234</v>
      </c>
      <c r="B1027" s="76">
        <v>75</v>
      </c>
      <c r="C1027" s="80" t="s">
        <v>952</v>
      </c>
    </row>
    <row r="1028" spans="1:3" ht="15">
      <c r="A1028" s="77" t="s">
        <v>223</v>
      </c>
      <c r="B1028" s="76" t="s">
        <v>3270</v>
      </c>
      <c r="C1028" s="80" t="s">
        <v>940</v>
      </c>
    </row>
    <row r="1029" spans="1:3" ht="15">
      <c r="A1029" s="77" t="s">
        <v>223</v>
      </c>
      <c r="B1029" s="76" t="s">
        <v>2688</v>
      </c>
      <c r="C1029" s="80" t="s">
        <v>940</v>
      </c>
    </row>
    <row r="1030" spans="1:3" ht="15">
      <c r="A1030" s="77" t="s">
        <v>223</v>
      </c>
      <c r="B1030" s="76" t="s">
        <v>3271</v>
      </c>
      <c r="C1030" s="80" t="s">
        <v>940</v>
      </c>
    </row>
    <row r="1031" spans="1:3" ht="15">
      <c r="A1031" s="77" t="s">
        <v>223</v>
      </c>
      <c r="B1031" s="76" t="s">
        <v>2438</v>
      </c>
      <c r="C1031" s="80" t="s">
        <v>940</v>
      </c>
    </row>
    <row r="1032" spans="1:3" ht="15">
      <c r="A1032" s="77" t="s">
        <v>223</v>
      </c>
      <c r="B1032" s="76" t="s">
        <v>2439</v>
      </c>
      <c r="C1032" s="80" t="s">
        <v>940</v>
      </c>
    </row>
    <row r="1033" spans="1:3" ht="15">
      <c r="A1033" s="77" t="s">
        <v>223</v>
      </c>
      <c r="B1033" s="76" t="s">
        <v>2559</v>
      </c>
      <c r="C1033" s="80" t="s">
        <v>940</v>
      </c>
    </row>
    <row r="1034" spans="1:3" ht="15">
      <c r="A1034" s="77" t="s">
        <v>223</v>
      </c>
      <c r="B1034" s="76" t="s">
        <v>3272</v>
      </c>
      <c r="C1034" s="80" t="s">
        <v>940</v>
      </c>
    </row>
    <row r="1035" spans="1:3" ht="15">
      <c r="A1035" s="77" t="s">
        <v>223</v>
      </c>
      <c r="B1035" s="76" t="s">
        <v>3273</v>
      </c>
      <c r="C1035" s="80" t="s">
        <v>940</v>
      </c>
    </row>
    <row r="1036" spans="1:3" ht="15">
      <c r="A1036" s="77" t="s">
        <v>223</v>
      </c>
      <c r="B1036" s="76" t="s">
        <v>2513</v>
      </c>
      <c r="C1036" s="80" t="s">
        <v>940</v>
      </c>
    </row>
    <row r="1037" spans="1:3" ht="15">
      <c r="A1037" s="77" t="s">
        <v>223</v>
      </c>
      <c r="B1037" s="76" t="s">
        <v>2616</v>
      </c>
      <c r="C1037" s="80" t="s">
        <v>940</v>
      </c>
    </row>
    <row r="1038" spans="1:3" ht="15">
      <c r="A1038" s="77" t="s">
        <v>223</v>
      </c>
      <c r="B1038" s="76" t="s">
        <v>2487</v>
      </c>
      <c r="C1038" s="80" t="s">
        <v>940</v>
      </c>
    </row>
    <row r="1039" spans="1:3" ht="15">
      <c r="A1039" s="77" t="s">
        <v>223</v>
      </c>
      <c r="B1039" s="76" t="s">
        <v>3274</v>
      </c>
      <c r="C1039" s="80" t="s">
        <v>940</v>
      </c>
    </row>
    <row r="1040" spans="1:3" ht="15">
      <c r="A1040" s="77" t="s">
        <v>223</v>
      </c>
      <c r="B1040" s="76" t="s">
        <v>340</v>
      </c>
      <c r="C1040" s="80" t="s">
        <v>940</v>
      </c>
    </row>
    <row r="1041" spans="1:3" ht="15">
      <c r="A1041" s="77" t="s">
        <v>223</v>
      </c>
      <c r="B1041" s="76" t="s">
        <v>341</v>
      </c>
      <c r="C1041" s="80" t="s">
        <v>940</v>
      </c>
    </row>
    <row r="1042" spans="1:3" ht="15">
      <c r="A1042" s="77" t="s">
        <v>285</v>
      </c>
      <c r="B1042" s="76" t="s">
        <v>3275</v>
      </c>
      <c r="C1042" s="80" t="s">
        <v>1008</v>
      </c>
    </row>
    <row r="1043" spans="1:3" ht="15">
      <c r="A1043" s="77" t="s">
        <v>285</v>
      </c>
      <c r="B1043" s="76" t="s">
        <v>3276</v>
      </c>
      <c r="C1043" s="80" t="s">
        <v>1008</v>
      </c>
    </row>
    <row r="1044" spans="1:3" ht="15">
      <c r="A1044" s="77" t="s">
        <v>285</v>
      </c>
      <c r="B1044" s="76" t="s">
        <v>3277</v>
      </c>
      <c r="C1044" s="80" t="s">
        <v>1008</v>
      </c>
    </row>
    <row r="1045" spans="1:3" ht="15">
      <c r="A1045" s="77" t="s">
        <v>285</v>
      </c>
      <c r="B1045" s="76" t="s">
        <v>3278</v>
      </c>
      <c r="C1045" s="80" t="s">
        <v>1008</v>
      </c>
    </row>
    <row r="1046" spans="1:3" ht="15">
      <c r="A1046" s="77" t="s">
        <v>285</v>
      </c>
      <c r="B1046" s="76" t="s">
        <v>671</v>
      </c>
      <c r="C1046" s="80" t="s">
        <v>1008</v>
      </c>
    </row>
    <row r="1047" spans="1:3" ht="15">
      <c r="A1047" s="77" t="s">
        <v>285</v>
      </c>
      <c r="B1047" s="76" t="s">
        <v>3279</v>
      </c>
      <c r="C1047" s="80" t="s">
        <v>1008</v>
      </c>
    </row>
    <row r="1048" spans="1:3" ht="15">
      <c r="A1048" s="77" t="s">
        <v>285</v>
      </c>
      <c r="B1048" s="76" t="s">
        <v>2709</v>
      </c>
      <c r="C1048" s="80" t="s">
        <v>1008</v>
      </c>
    </row>
    <row r="1049" spans="1:3" ht="15">
      <c r="A1049" s="77" t="s">
        <v>285</v>
      </c>
      <c r="B1049" s="76" t="s">
        <v>3280</v>
      </c>
      <c r="C1049" s="80" t="s">
        <v>1008</v>
      </c>
    </row>
    <row r="1050" spans="1:3" ht="15">
      <c r="A1050" s="77" t="s">
        <v>285</v>
      </c>
      <c r="B1050" s="76" t="s">
        <v>3281</v>
      </c>
      <c r="C1050" s="80" t="s">
        <v>1008</v>
      </c>
    </row>
    <row r="1051" spans="1:3" ht="15">
      <c r="A1051" s="77" t="s">
        <v>285</v>
      </c>
      <c r="B1051" s="76" t="s">
        <v>2620</v>
      </c>
      <c r="C1051" s="80" t="s">
        <v>1008</v>
      </c>
    </row>
    <row r="1052" spans="1:3" ht="15">
      <c r="A1052" s="77" t="s">
        <v>285</v>
      </c>
      <c r="B1052" s="76" t="s">
        <v>3282</v>
      </c>
      <c r="C1052" s="80" t="s">
        <v>1008</v>
      </c>
    </row>
    <row r="1053" spans="1:3" ht="15">
      <c r="A1053" s="77" t="s">
        <v>285</v>
      </c>
      <c r="B1053" s="76" t="s">
        <v>2438</v>
      </c>
      <c r="C1053" s="80" t="s">
        <v>1008</v>
      </c>
    </row>
    <row r="1054" spans="1:3" ht="15">
      <c r="A1054" s="77" t="s">
        <v>285</v>
      </c>
      <c r="B1054" s="76" t="s">
        <v>2452</v>
      </c>
      <c r="C1054" s="80" t="s">
        <v>1008</v>
      </c>
    </row>
    <row r="1055" spans="1:3" ht="15">
      <c r="A1055" s="77" t="s">
        <v>285</v>
      </c>
      <c r="B1055" s="76" t="s">
        <v>2449</v>
      </c>
      <c r="C1055" s="80" t="s">
        <v>1008</v>
      </c>
    </row>
    <row r="1056" spans="1:3" ht="15">
      <c r="A1056" s="77" t="s">
        <v>285</v>
      </c>
      <c r="B1056" s="76" t="s">
        <v>2618</v>
      </c>
      <c r="C1056" s="80" t="s">
        <v>1008</v>
      </c>
    </row>
    <row r="1057" spans="1:3" ht="15">
      <c r="A1057" s="77" t="s">
        <v>285</v>
      </c>
      <c r="B1057" s="76" t="s">
        <v>391</v>
      </c>
      <c r="C1057" s="80" t="s">
        <v>1008</v>
      </c>
    </row>
    <row r="1058" spans="1:3" ht="15">
      <c r="A1058" s="77" t="s">
        <v>233</v>
      </c>
      <c r="B1058" s="76" t="s">
        <v>3283</v>
      </c>
      <c r="C1058" s="80" t="s">
        <v>951</v>
      </c>
    </row>
    <row r="1059" spans="1:3" ht="15">
      <c r="A1059" s="77" t="s">
        <v>233</v>
      </c>
      <c r="B1059" s="76" t="s">
        <v>3284</v>
      </c>
      <c r="C1059" s="80" t="s">
        <v>951</v>
      </c>
    </row>
    <row r="1060" spans="1:3" ht="15">
      <c r="A1060" s="77" t="s">
        <v>233</v>
      </c>
      <c r="B1060" s="76" t="s">
        <v>3285</v>
      </c>
      <c r="C1060" s="80" t="s">
        <v>951</v>
      </c>
    </row>
    <row r="1061" spans="1:3" ht="15">
      <c r="A1061" s="77" t="s">
        <v>233</v>
      </c>
      <c r="B1061" s="76" t="s">
        <v>2491</v>
      </c>
      <c r="C1061" s="80" t="s">
        <v>951</v>
      </c>
    </row>
    <row r="1062" spans="1:3" ht="15">
      <c r="A1062" s="77" t="s">
        <v>233</v>
      </c>
      <c r="B1062" s="76" t="s">
        <v>2576</v>
      </c>
      <c r="C1062" s="80" t="s">
        <v>951</v>
      </c>
    </row>
    <row r="1063" spans="1:3" ht="15">
      <c r="A1063" s="77" t="s">
        <v>233</v>
      </c>
      <c r="B1063" s="76" t="s">
        <v>2438</v>
      </c>
      <c r="C1063" s="80" t="s">
        <v>951</v>
      </c>
    </row>
    <row r="1064" spans="1:3" ht="15">
      <c r="A1064" s="77" t="s">
        <v>233</v>
      </c>
      <c r="B1064" s="76" t="s">
        <v>2439</v>
      </c>
      <c r="C1064" s="80" t="s">
        <v>951</v>
      </c>
    </row>
    <row r="1065" spans="1:3" ht="15">
      <c r="A1065" s="77" t="s">
        <v>233</v>
      </c>
      <c r="B1065" s="76" t="s">
        <v>3286</v>
      </c>
      <c r="C1065" s="80" t="s">
        <v>951</v>
      </c>
    </row>
    <row r="1066" spans="1:3" ht="15">
      <c r="A1066" s="77" t="s">
        <v>233</v>
      </c>
      <c r="B1066" s="76" t="s">
        <v>3287</v>
      </c>
      <c r="C1066" s="80" t="s">
        <v>951</v>
      </c>
    </row>
    <row r="1067" spans="1:3" ht="15">
      <c r="A1067" s="77" t="s">
        <v>233</v>
      </c>
      <c r="B1067" s="76" t="s">
        <v>351</v>
      </c>
      <c r="C1067" s="80" t="s">
        <v>951</v>
      </c>
    </row>
    <row r="1068" spans="1:3" ht="15">
      <c r="A1068" s="77" t="s">
        <v>233</v>
      </c>
      <c r="B1068" s="76" t="s">
        <v>352</v>
      </c>
      <c r="C1068" s="80" t="s">
        <v>951</v>
      </c>
    </row>
    <row r="1069" spans="1:3" ht="15">
      <c r="A1069" s="77" t="s">
        <v>233</v>
      </c>
      <c r="B1069" s="76" t="s">
        <v>353</v>
      </c>
      <c r="C1069" s="80" t="s">
        <v>951</v>
      </c>
    </row>
    <row r="1070" spans="1:3" ht="15">
      <c r="A1070" s="77" t="s">
        <v>270</v>
      </c>
      <c r="B1070" s="76" t="s">
        <v>3288</v>
      </c>
      <c r="C1070" s="80" t="s">
        <v>991</v>
      </c>
    </row>
    <row r="1071" spans="1:3" ht="15">
      <c r="A1071" s="77" t="s">
        <v>270</v>
      </c>
      <c r="B1071" s="76" t="s">
        <v>3289</v>
      </c>
      <c r="C1071" s="80" t="s">
        <v>991</v>
      </c>
    </row>
    <row r="1072" spans="1:3" ht="15">
      <c r="A1072" s="77" t="s">
        <v>270</v>
      </c>
      <c r="B1072" s="76" t="s">
        <v>2669</v>
      </c>
      <c r="C1072" s="80" t="s">
        <v>991</v>
      </c>
    </row>
    <row r="1073" spans="1:3" ht="15">
      <c r="A1073" s="77" t="s">
        <v>270</v>
      </c>
      <c r="B1073" s="76" t="s">
        <v>3290</v>
      </c>
      <c r="C1073" s="80" t="s">
        <v>991</v>
      </c>
    </row>
    <row r="1074" spans="1:3" ht="15">
      <c r="A1074" s="77" t="s">
        <v>270</v>
      </c>
      <c r="B1074" s="76" t="s">
        <v>2442</v>
      </c>
      <c r="C1074" s="80" t="s">
        <v>991</v>
      </c>
    </row>
    <row r="1075" spans="1:3" ht="15">
      <c r="A1075" s="77" t="s">
        <v>270</v>
      </c>
      <c r="B1075" s="76" t="s">
        <v>3291</v>
      </c>
      <c r="C1075" s="80" t="s">
        <v>991</v>
      </c>
    </row>
    <row r="1076" spans="1:3" ht="15">
      <c r="A1076" s="77" t="s">
        <v>270</v>
      </c>
      <c r="B1076" s="76" t="s">
        <v>2438</v>
      </c>
      <c r="C1076" s="80" t="s">
        <v>991</v>
      </c>
    </row>
    <row r="1077" spans="1:3" ht="15">
      <c r="A1077" s="77" t="s">
        <v>270</v>
      </c>
      <c r="B1077" s="76" t="s">
        <v>2451</v>
      </c>
      <c r="C1077" s="80" t="s">
        <v>991</v>
      </c>
    </row>
    <row r="1078" spans="1:3" ht="15">
      <c r="A1078" s="77" t="s">
        <v>270</v>
      </c>
      <c r="B1078" s="76" t="s">
        <v>2725</v>
      </c>
      <c r="C1078" s="80" t="s">
        <v>991</v>
      </c>
    </row>
    <row r="1079" spans="1:3" ht="15">
      <c r="A1079" s="77" t="s">
        <v>270</v>
      </c>
      <c r="B1079" s="76" t="s">
        <v>3292</v>
      </c>
      <c r="C1079" s="80" t="s">
        <v>991</v>
      </c>
    </row>
    <row r="1080" spans="1:3" ht="15">
      <c r="A1080" s="77" t="s">
        <v>270</v>
      </c>
      <c r="B1080" s="76" t="s">
        <v>2512</v>
      </c>
      <c r="C1080" s="80" t="s">
        <v>991</v>
      </c>
    </row>
    <row r="1081" spans="1:3" ht="15">
      <c r="A1081" s="77" t="s">
        <v>270</v>
      </c>
      <c r="B1081" s="76" t="s">
        <v>3293</v>
      </c>
      <c r="C1081" s="80" t="s">
        <v>991</v>
      </c>
    </row>
    <row r="1082" spans="1:3" ht="15">
      <c r="A1082" s="77" t="s">
        <v>270</v>
      </c>
      <c r="B1082" s="76" t="s">
        <v>3294</v>
      </c>
      <c r="C1082" s="80" t="s">
        <v>991</v>
      </c>
    </row>
    <row r="1083" spans="1:3" ht="15">
      <c r="A1083" s="77" t="s">
        <v>270</v>
      </c>
      <c r="B1083" s="76" t="s">
        <v>3295</v>
      </c>
      <c r="C1083" s="80" t="s">
        <v>991</v>
      </c>
    </row>
    <row r="1084" spans="1:3" ht="15">
      <c r="A1084" s="77" t="s">
        <v>270</v>
      </c>
      <c r="B1084" s="76" t="s">
        <v>3296</v>
      </c>
      <c r="C1084" s="80" t="s">
        <v>991</v>
      </c>
    </row>
    <row r="1085" spans="1:3" ht="15">
      <c r="A1085" s="77" t="s">
        <v>270</v>
      </c>
      <c r="B1085" s="76" t="s">
        <v>3297</v>
      </c>
      <c r="C1085" s="80" t="s">
        <v>991</v>
      </c>
    </row>
    <row r="1086" spans="1:3" ht="15">
      <c r="A1086" s="77" t="s">
        <v>270</v>
      </c>
      <c r="B1086" s="76" t="s">
        <v>3298</v>
      </c>
      <c r="C1086" s="80" t="s">
        <v>991</v>
      </c>
    </row>
    <row r="1087" spans="1:3" ht="15">
      <c r="A1087" s="77" t="s">
        <v>270</v>
      </c>
      <c r="B1087" s="76" t="s">
        <v>2526</v>
      </c>
      <c r="C1087" s="80" t="s">
        <v>991</v>
      </c>
    </row>
    <row r="1088" spans="1:3" ht="15">
      <c r="A1088" s="77" t="s">
        <v>270</v>
      </c>
      <c r="B1088" s="76" t="s">
        <v>3299</v>
      </c>
      <c r="C1088" s="80" t="s">
        <v>991</v>
      </c>
    </row>
    <row r="1089" spans="1:3" ht="15">
      <c r="A1089" s="77" t="s">
        <v>270</v>
      </c>
      <c r="B1089" s="76" t="s">
        <v>3300</v>
      </c>
      <c r="C1089" s="80" t="s">
        <v>991</v>
      </c>
    </row>
    <row r="1090" spans="1:3" ht="15">
      <c r="A1090" s="77" t="s">
        <v>270</v>
      </c>
      <c r="B1090" s="76" t="s">
        <v>2643</v>
      </c>
      <c r="C1090" s="80" t="s">
        <v>991</v>
      </c>
    </row>
    <row r="1091" spans="1:3" ht="15">
      <c r="A1091" s="77" t="s">
        <v>270</v>
      </c>
      <c r="B1091" s="76" t="s">
        <v>2745</v>
      </c>
      <c r="C1091" s="80" t="s">
        <v>991</v>
      </c>
    </row>
    <row r="1092" spans="1:3" ht="15">
      <c r="A1092" s="77" t="s">
        <v>270</v>
      </c>
      <c r="B1092" s="76" t="s">
        <v>3301</v>
      </c>
      <c r="C1092" s="80" t="s">
        <v>991</v>
      </c>
    </row>
    <row r="1093" spans="1:3" ht="15">
      <c r="A1093" s="77" t="s">
        <v>270</v>
      </c>
      <c r="B1093" s="76" t="s">
        <v>2787</v>
      </c>
      <c r="C1093" s="80" t="s">
        <v>991</v>
      </c>
    </row>
    <row r="1094" spans="1:3" ht="15">
      <c r="A1094" s="77" t="s">
        <v>270</v>
      </c>
      <c r="B1094" s="76" t="s">
        <v>3302</v>
      </c>
      <c r="C1094" s="80" t="s">
        <v>991</v>
      </c>
    </row>
    <row r="1095" spans="1:3" ht="15">
      <c r="A1095" s="77" t="s">
        <v>270</v>
      </c>
      <c r="B1095" s="76" t="s">
        <v>380</v>
      </c>
      <c r="C1095" s="80" t="s">
        <v>991</v>
      </c>
    </row>
    <row r="1096" spans="1:3" ht="15">
      <c r="A1096" s="77" t="s">
        <v>270</v>
      </c>
      <c r="B1096" s="76" t="s">
        <v>381</v>
      </c>
      <c r="C1096" s="80" t="s">
        <v>991</v>
      </c>
    </row>
    <row r="1097" spans="1:3" ht="15">
      <c r="A1097" s="77" t="s">
        <v>326</v>
      </c>
      <c r="B1097" s="76" t="s">
        <v>2550</v>
      </c>
      <c r="C1097" s="80" t="s">
        <v>1064</v>
      </c>
    </row>
    <row r="1098" spans="1:3" ht="15">
      <c r="A1098" s="77" t="s">
        <v>326</v>
      </c>
      <c r="B1098" s="76" t="s">
        <v>2565</v>
      </c>
      <c r="C1098" s="80" t="s">
        <v>1064</v>
      </c>
    </row>
    <row r="1099" spans="1:3" ht="15">
      <c r="A1099" s="77" t="s">
        <v>326</v>
      </c>
      <c r="B1099" s="76" t="s">
        <v>2539</v>
      </c>
      <c r="C1099" s="80" t="s">
        <v>1064</v>
      </c>
    </row>
    <row r="1100" spans="1:3" ht="15">
      <c r="A1100" s="77" t="s">
        <v>326</v>
      </c>
      <c r="B1100" s="76" t="s">
        <v>2512</v>
      </c>
      <c r="C1100" s="80" t="s">
        <v>1064</v>
      </c>
    </row>
    <row r="1101" spans="1:3" ht="15">
      <c r="A1101" s="77" t="s">
        <v>326</v>
      </c>
      <c r="B1101" s="76" t="s">
        <v>2450</v>
      </c>
      <c r="C1101" s="80" t="s">
        <v>1064</v>
      </c>
    </row>
    <row r="1102" spans="1:3" ht="15">
      <c r="A1102" s="77" t="s">
        <v>326</v>
      </c>
      <c r="B1102" s="76" t="s">
        <v>2482</v>
      </c>
      <c r="C1102" s="80" t="s">
        <v>1064</v>
      </c>
    </row>
    <row r="1103" spans="1:3" ht="15">
      <c r="A1103" s="77" t="s">
        <v>326</v>
      </c>
      <c r="B1103" s="76" t="s">
        <v>2493</v>
      </c>
      <c r="C1103" s="80" t="s">
        <v>1064</v>
      </c>
    </row>
    <row r="1104" spans="1:3" ht="15">
      <c r="A1104" s="77" t="s">
        <v>326</v>
      </c>
      <c r="B1104" s="76" t="s">
        <v>2532</v>
      </c>
      <c r="C1104" s="80" t="s">
        <v>1064</v>
      </c>
    </row>
    <row r="1105" spans="1:3" ht="15">
      <c r="A1105" s="77" t="s">
        <v>326</v>
      </c>
      <c r="B1105" s="76" t="s">
        <v>2541</v>
      </c>
      <c r="C1105" s="80" t="s">
        <v>1064</v>
      </c>
    </row>
    <row r="1106" spans="1:3" ht="15">
      <c r="A1106" s="77" t="s">
        <v>326</v>
      </c>
      <c r="B1106" s="76" t="s">
        <v>2578</v>
      </c>
      <c r="C1106" s="80" t="s">
        <v>1064</v>
      </c>
    </row>
    <row r="1107" spans="1:3" ht="15">
      <c r="A1107" s="77" t="s">
        <v>326</v>
      </c>
      <c r="B1107" s="76" t="s">
        <v>2593</v>
      </c>
      <c r="C1107" s="80" t="s">
        <v>1064</v>
      </c>
    </row>
    <row r="1108" spans="1:3" ht="15">
      <c r="A1108" s="77" t="s">
        <v>326</v>
      </c>
      <c r="B1108" s="76" t="s">
        <v>2508</v>
      </c>
      <c r="C1108" s="80" t="s">
        <v>1064</v>
      </c>
    </row>
    <row r="1109" spans="1:3" ht="15">
      <c r="A1109" s="77" t="s">
        <v>326</v>
      </c>
      <c r="B1109" s="76" t="s">
        <v>2547</v>
      </c>
      <c r="C1109" s="80" t="s">
        <v>1064</v>
      </c>
    </row>
    <row r="1110" spans="1:3" ht="15">
      <c r="A1110" s="77" t="s">
        <v>326</v>
      </c>
      <c r="B1110" s="76" t="s">
        <v>2438</v>
      </c>
      <c r="C1110" s="80" t="s">
        <v>1064</v>
      </c>
    </row>
    <row r="1111" spans="1:3" ht="15">
      <c r="A1111" s="77" t="s">
        <v>326</v>
      </c>
      <c r="B1111" s="76" t="s">
        <v>2516</v>
      </c>
      <c r="C1111" s="80" t="s">
        <v>1064</v>
      </c>
    </row>
    <row r="1112" spans="1:3" ht="15">
      <c r="A1112" s="77" t="s">
        <v>326</v>
      </c>
      <c r="B1112" s="76" t="s">
        <v>2563</v>
      </c>
      <c r="C1112" s="80" t="s">
        <v>1064</v>
      </c>
    </row>
    <row r="1113" spans="1:3" ht="15">
      <c r="A1113" s="77" t="s">
        <v>311</v>
      </c>
      <c r="B1113" s="76" t="s">
        <v>3303</v>
      </c>
      <c r="C1113" s="80" t="s">
        <v>1043</v>
      </c>
    </row>
    <row r="1114" spans="1:3" ht="15">
      <c r="A1114" s="77" t="s">
        <v>311</v>
      </c>
      <c r="B1114" s="76" t="s">
        <v>3304</v>
      </c>
      <c r="C1114" s="80" t="s">
        <v>1043</v>
      </c>
    </row>
    <row r="1115" spans="1:3" ht="15">
      <c r="A1115" s="77" t="s">
        <v>311</v>
      </c>
      <c r="B1115" s="76" t="s">
        <v>3305</v>
      </c>
      <c r="C1115" s="80" t="s">
        <v>1043</v>
      </c>
    </row>
    <row r="1116" spans="1:3" ht="15">
      <c r="A1116" s="77" t="s">
        <v>311</v>
      </c>
      <c r="B1116" s="76" t="s">
        <v>3306</v>
      </c>
      <c r="C1116" s="80" t="s">
        <v>1043</v>
      </c>
    </row>
    <row r="1117" spans="1:3" ht="15">
      <c r="A1117" s="77" t="s">
        <v>311</v>
      </c>
      <c r="B1117" s="76" t="s">
        <v>2442</v>
      </c>
      <c r="C1117" s="80" t="s">
        <v>1043</v>
      </c>
    </row>
    <row r="1118" spans="1:3" ht="15">
      <c r="A1118" s="77" t="s">
        <v>311</v>
      </c>
      <c r="B1118" s="76" t="s">
        <v>3307</v>
      </c>
      <c r="C1118" s="80" t="s">
        <v>1043</v>
      </c>
    </row>
    <row r="1119" spans="1:3" ht="15">
      <c r="A1119" s="77" t="s">
        <v>311</v>
      </c>
      <c r="B1119" s="76" t="s">
        <v>2444</v>
      </c>
      <c r="C1119" s="80" t="s">
        <v>1043</v>
      </c>
    </row>
    <row r="1120" spans="1:3" ht="15">
      <c r="A1120" s="77" t="s">
        <v>311</v>
      </c>
      <c r="B1120" s="76" t="s">
        <v>3308</v>
      </c>
      <c r="C1120" s="80" t="s">
        <v>1043</v>
      </c>
    </row>
    <row r="1121" spans="1:3" ht="15">
      <c r="A1121" s="77" t="s">
        <v>311</v>
      </c>
      <c r="B1121" s="76" t="s">
        <v>2507</v>
      </c>
      <c r="C1121" s="80" t="s">
        <v>1043</v>
      </c>
    </row>
    <row r="1122" spans="1:3" ht="15">
      <c r="A1122" s="77" t="s">
        <v>311</v>
      </c>
      <c r="B1122" s="76" t="s">
        <v>3309</v>
      </c>
      <c r="C1122" s="80" t="s">
        <v>1043</v>
      </c>
    </row>
    <row r="1123" spans="1:3" ht="15">
      <c r="A1123" s="77" t="s">
        <v>311</v>
      </c>
      <c r="B1123" s="76" t="s">
        <v>2699</v>
      </c>
      <c r="C1123" s="80" t="s">
        <v>1043</v>
      </c>
    </row>
    <row r="1124" spans="1:3" ht="15">
      <c r="A1124" s="77" t="s">
        <v>311</v>
      </c>
      <c r="B1124" s="76" t="s">
        <v>3310</v>
      </c>
      <c r="C1124" s="80" t="s">
        <v>1043</v>
      </c>
    </row>
    <row r="1125" spans="1:3" ht="15">
      <c r="A1125" s="77" t="s">
        <v>311</v>
      </c>
      <c r="B1125" s="76" t="s">
        <v>3311</v>
      </c>
      <c r="C1125" s="80" t="s">
        <v>1043</v>
      </c>
    </row>
    <row r="1126" spans="1:3" ht="15">
      <c r="A1126" s="77" t="s">
        <v>311</v>
      </c>
      <c r="B1126" s="76" t="s">
        <v>3312</v>
      </c>
      <c r="C1126" s="80" t="s">
        <v>1043</v>
      </c>
    </row>
    <row r="1127" spans="1:3" ht="15">
      <c r="A1127" s="77" t="s">
        <v>311</v>
      </c>
      <c r="B1127" s="76" t="s">
        <v>3313</v>
      </c>
      <c r="C1127" s="80" t="s">
        <v>1043</v>
      </c>
    </row>
    <row r="1128" spans="1:3" ht="15">
      <c r="A1128" s="77" t="s">
        <v>311</v>
      </c>
      <c r="B1128" s="76" t="b">
        <v>1</v>
      </c>
      <c r="C1128" s="80" t="s">
        <v>1043</v>
      </c>
    </row>
    <row r="1129" spans="1:3" ht="15">
      <c r="A1129" s="77" t="s">
        <v>311</v>
      </c>
      <c r="B1129" s="76" t="s">
        <v>3314</v>
      </c>
      <c r="C1129" s="80" t="s">
        <v>1043</v>
      </c>
    </row>
    <row r="1130" spans="1:3" ht="15">
      <c r="A1130" s="77" t="s">
        <v>311</v>
      </c>
      <c r="B1130" s="76" t="s">
        <v>2666</v>
      </c>
      <c r="C1130" s="80" t="s">
        <v>1043</v>
      </c>
    </row>
    <row r="1131" spans="1:3" ht="15">
      <c r="A1131" s="77" t="s">
        <v>311</v>
      </c>
      <c r="B1131" s="76" t="s">
        <v>3315</v>
      </c>
      <c r="C1131" s="80" t="s">
        <v>1043</v>
      </c>
    </row>
    <row r="1132" spans="1:3" ht="15">
      <c r="A1132" s="77" t="s">
        <v>311</v>
      </c>
      <c r="B1132" s="76" t="s">
        <v>2438</v>
      </c>
      <c r="C1132" s="80" t="s">
        <v>1043</v>
      </c>
    </row>
    <row r="1133" spans="1:3" ht="15">
      <c r="A1133" s="77" t="s">
        <v>311</v>
      </c>
      <c r="B1133" s="76" t="s">
        <v>2439</v>
      </c>
      <c r="C1133" s="80" t="s">
        <v>1043</v>
      </c>
    </row>
    <row r="1134" spans="1:3" ht="15">
      <c r="A1134" s="77" t="s">
        <v>311</v>
      </c>
      <c r="B1134" s="76" t="s">
        <v>409</v>
      </c>
      <c r="C1134" s="80" t="s">
        <v>1043</v>
      </c>
    </row>
    <row r="1135" spans="1:3" ht="15">
      <c r="A1135" s="77" t="s">
        <v>311</v>
      </c>
      <c r="B1135" s="76" t="s">
        <v>1289</v>
      </c>
      <c r="C1135" s="80" t="s">
        <v>1043</v>
      </c>
    </row>
    <row r="1136" spans="1:3" ht="15">
      <c r="A1136" s="77" t="s">
        <v>273</v>
      </c>
      <c r="B1136" s="76" t="s">
        <v>3316</v>
      </c>
      <c r="C1136" s="80" t="s">
        <v>994</v>
      </c>
    </row>
    <row r="1137" spans="1:3" ht="15">
      <c r="A1137" s="77" t="s">
        <v>273</v>
      </c>
      <c r="B1137" s="76" t="s">
        <v>2766</v>
      </c>
      <c r="C1137" s="80" t="s">
        <v>994</v>
      </c>
    </row>
    <row r="1138" spans="1:3" ht="15">
      <c r="A1138" s="77" t="s">
        <v>273</v>
      </c>
      <c r="B1138" s="76" t="s">
        <v>3317</v>
      </c>
      <c r="C1138" s="80" t="s">
        <v>994</v>
      </c>
    </row>
    <row r="1139" spans="1:3" ht="15">
      <c r="A1139" s="77" t="s">
        <v>273</v>
      </c>
      <c r="B1139" s="76" t="s">
        <v>3318</v>
      </c>
      <c r="C1139" s="80" t="s">
        <v>994</v>
      </c>
    </row>
    <row r="1140" spans="1:3" ht="15">
      <c r="A1140" s="77" t="s">
        <v>273</v>
      </c>
      <c r="B1140" s="76" t="s">
        <v>3319</v>
      </c>
      <c r="C1140" s="80" t="s">
        <v>994</v>
      </c>
    </row>
    <row r="1141" spans="1:3" ht="15">
      <c r="A1141" s="77" t="s">
        <v>273</v>
      </c>
      <c r="B1141" s="76" t="s">
        <v>3320</v>
      </c>
      <c r="C1141" s="80" t="s">
        <v>994</v>
      </c>
    </row>
    <row r="1142" spans="1:3" ht="15">
      <c r="A1142" s="77" t="s">
        <v>273</v>
      </c>
      <c r="B1142" s="76" t="s">
        <v>3321</v>
      </c>
      <c r="C1142" s="80" t="s">
        <v>994</v>
      </c>
    </row>
    <row r="1143" spans="1:3" ht="15">
      <c r="A1143" s="77" t="s">
        <v>273</v>
      </c>
      <c r="B1143" s="76" t="s">
        <v>2544</v>
      </c>
      <c r="C1143" s="80" t="s">
        <v>994</v>
      </c>
    </row>
    <row r="1144" spans="1:3" ht="15">
      <c r="A1144" s="77" t="s">
        <v>273</v>
      </c>
      <c r="B1144" s="76" t="s">
        <v>3322</v>
      </c>
      <c r="C1144" s="80" t="s">
        <v>994</v>
      </c>
    </row>
    <row r="1145" spans="1:3" ht="15">
      <c r="A1145" s="77" t="s">
        <v>273</v>
      </c>
      <c r="B1145" s="76" t="s">
        <v>3323</v>
      </c>
      <c r="C1145" s="80" t="s">
        <v>994</v>
      </c>
    </row>
    <row r="1146" spans="1:3" ht="15">
      <c r="A1146" s="77" t="s">
        <v>273</v>
      </c>
      <c r="B1146" s="76" t="s">
        <v>3324</v>
      </c>
      <c r="C1146" s="80" t="s">
        <v>994</v>
      </c>
    </row>
    <row r="1147" spans="1:3" ht="15">
      <c r="A1147" s="77" t="s">
        <v>273</v>
      </c>
      <c r="B1147" s="76" t="s">
        <v>2737</v>
      </c>
      <c r="C1147" s="80" t="s">
        <v>994</v>
      </c>
    </row>
    <row r="1148" spans="1:3" ht="15">
      <c r="A1148" s="77" t="s">
        <v>273</v>
      </c>
      <c r="B1148" s="76" t="s">
        <v>2491</v>
      </c>
      <c r="C1148" s="80" t="s">
        <v>994</v>
      </c>
    </row>
    <row r="1149" spans="1:3" ht="15">
      <c r="A1149" s="77" t="s">
        <v>273</v>
      </c>
      <c r="B1149" s="76" t="s">
        <v>3325</v>
      </c>
      <c r="C1149" s="80" t="s">
        <v>994</v>
      </c>
    </row>
    <row r="1150" spans="1:3" ht="15">
      <c r="A1150" s="77" t="s">
        <v>273</v>
      </c>
      <c r="B1150" s="76" t="s">
        <v>3326</v>
      </c>
      <c r="C1150" s="80" t="s">
        <v>994</v>
      </c>
    </row>
    <row r="1151" spans="1:3" ht="15">
      <c r="A1151" s="77" t="s">
        <v>273</v>
      </c>
      <c r="B1151" s="76" t="s">
        <v>2464</v>
      </c>
      <c r="C1151" s="80" t="s">
        <v>994</v>
      </c>
    </row>
    <row r="1152" spans="1:3" ht="15">
      <c r="A1152" s="77" t="s">
        <v>273</v>
      </c>
      <c r="B1152" s="76" t="s">
        <v>383</v>
      </c>
      <c r="C1152" s="80" t="s">
        <v>994</v>
      </c>
    </row>
    <row r="1153" spans="1:3" ht="15">
      <c r="A1153" s="77" t="s">
        <v>326</v>
      </c>
      <c r="B1153" s="76" t="s">
        <v>2550</v>
      </c>
      <c r="C1153" s="80" t="s">
        <v>1066</v>
      </c>
    </row>
    <row r="1154" spans="1:3" ht="15">
      <c r="A1154" s="77" t="s">
        <v>326</v>
      </c>
      <c r="B1154" s="76" t="s">
        <v>2565</v>
      </c>
      <c r="C1154" s="80" t="s">
        <v>1066</v>
      </c>
    </row>
    <row r="1155" spans="1:3" ht="15">
      <c r="A1155" s="77" t="s">
        <v>326</v>
      </c>
      <c r="B1155" s="76" t="s">
        <v>2539</v>
      </c>
      <c r="C1155" s="80" t="s">
        <v>1066</v>
      </c>
    </row>
    <row r="1156" spans="1:3" ht="15">
      <c r="A1156" s="77" t="s">
        <v>326</v>
      </c>
      <c r="B1156" s="76" t="s">
        <v>2512</v>
      </c>
      <c r="C1156" s="80" t="s">
        <v>1066</v>
      </c>
    </row>
    <row r="1157" spans="1:3" ht="15">
      <c r="A1157" s="77" t="s">
        <v>326</v>
      </c>
      <c r="B1157" s="76" t="s">
        <v>2450</v>
      </c>
      <c r="C1157" s="80" t="s">
        <v>1066</v>
      </c>
    </row>
    <row r="1158" spans="1:3" ht="15">
      <c r="A1158" s="77" t="s">
        <v>326</v>
      </c>
      <c r="B1158" s="76" t="s">
        <v>2482</v>
      </c>
      <c r="C1158" s="80" t="s">
        <v>1066</v>
      </c>
    </row>
    <row r="1159" spans="1:3" ht="15">
      <c r="A1159" s="77" t="s">
        <v>326</v>
      </c>
      <c r="B1159" s="76" t="s">
        <v>2493</v>
      </c>
      <c r="C1159" s="80" t="s">
        <v>1066</v>
      </c>
    </row>
    <row r="1160" spans="1:3" ht="15">
      <c r="A1160" s="77" t="s">
        <v>326</v>
      </c>
      <c r="B1160" s="76" t="s">
        <v>2532</v>
      </c>
      <c r="C1160" s="80" t="s">
        <v>1066</v>
      </c>
    </row>
    <row r="1161" spans="1:3" ht="15">
      <c r="A1161" s="77" t="s">
        <v>326</v>
      </c>
      <c r="B1161" s="76" t="s">
        <v>2541</v>
      </c>
      <c r="C1161" s="80" t="s">
        <v>1066</v>
      </c>
    </row>
    <row r="1162" spans="1:3" ht="15">
      <c r="A1162" s="77" t="s">
        <v>326</v>
      </c>
      <c r="B1162" s="76" t="s">
        <v>2578</v>
      </c>
      <c r="C1162" s="80" t="s">
        <v>1066</v>
      </c>
    </row>
    <row r="1163" spans="1:3" ht="15">
      <c r="A1163" s="77" t="s">
        <v>326</v>
      </c>
      <c r="B1163" s="76" t="s">
        <v>2593</v>
      </c>
      <c r="C1163" s="80" t="s">
        <v>1066</v>
      </c>
    </row>
    <row r="1164" spans="1:3" ht="15">
      <c r="A1164" s="77" t="s">
        <v>326</v>
      </c>
      <c r="B1164" s="76" t="s">
        <v>2508</v>
      </c>
      <c r="C1164" s="80" t="s">
        <v>1066</v>
      </c>
    </row>
    <row r="1165" spans="1:3" ht="15">
      <c r="A1165" s="77" t="s">
        <v>326</v>
      </c>
      <c r="B1165" s="76" t="s">
        <v>2547</v>
      </c>
      <c r="C1165" s="80" t="s">
        <v>1066</v>
      </c>
    </row>
    <row r="1166" spans="1:3" ht="15">
      <c r="A1166" s="77" t="s">
        <v>326</v>
      </c>
      <c r="B1166" s="76" t="s">
        <v>2438</v>
      </c>
      <c r="C1166" s="80" t="s">
        <v>1066</v>
      </c>
    </row>
    <row r="1167" spans="1:3" ht="15">
      <c r="A1167" s="77" t="s">
        <v>326</v>
      </c>
      <c r="B1167" s="76" t="s">
        <v>2516</v>
      </c>
      <c r="C1167" s="80" t="s">
        <v>1066</v>
      </c>
    </row>
    <row r="1168" spans="1:3" ht="15">
      <c r="A1168" s="77" t="s">
        <v>326</v>
      </c>
      <c r="B1168" s="76" t="s">
        <v>2563</v>
      </c>
      <c r="C1168" s="80" t="s">
        <v>1066</v>
      </c>
    </row>
    <row r="1169" spans="1:3" ht="15">
      <c r="A1169" s="77" t="s">
        <v>235</v>
      </c>
      <c r="B1169" s="76" t="s">
        <v>3327</v>
      </c>
      <c r="C1169" s="80" t="s">
        <v>953</v>
      </c>
    </row>
    <row r="1170" spans="1:3" ht="15">
      <c r="A1170" s="77" t="s">
        <v>235</v>
      </c>
      <c r="B1170" s="76" t="s">
        <v>3328</v>
      </c>
      <c r="C1170" s="80" t="s">
        <v>953</v>
      </c>
    </row>
    <row r="1171" spans="1:3" ht="15">
      <c r="A1171" s="77" t="s">
        <v>235</v>
      </c>
      <c r="B1171" s="76" t="s">
        <v>3329</v>
      </c>
      <c r="C1171" s="80" t="s">
        <v>953</v>
      </c>
    </row>
    <row r="1172" spans="1:3" ht="15">
      <c r="A1172" s="77" t="s">
        <v>235</v>
      </c>
      <c r="B1172" s="76" t="s">
        <v>2746</v>
      </c>
      <c r="C1172" s="80" t="s">
        <v>953</v>
      </c>
    </row>
    <row r="1173" spans="1:3" ht="15">
      <c r="A1173" s="77" t="s">
        <v>235</v>
      </c>
      <c r="B1173" s="76" t="s">
        <v>3330</v>
      </c>
      <c r="C1173" s="80" t="s">
        <v>953</v>
      </c>
    </row>
    <row r="1174" spans="1:3" ht="15">
      <c r="A1174" s="77" t="s">
        <v>235</v>
      </c>
      <c r="B1174" s="76" t="s">
        <v>2612</v>
      </c>
      <c r="C1174" s="80" t="s">
        <v>953</v>
      </c>
    </row>
    <row r="1175" spans="1:3" ht="15">
      <c r="A1175" s="77" t="s">
        <v>235</v>
      </c>
      <c r="B1175" s="76" t="s">
        <v>2503</v>
      </c>
      <c r="C1175" s="80" t="s">
        <v>953</v>
      </c>
    </row>
    <row r="1176" spans="1:3" ht="15">
      <c r="A1176" s="77" t="s">
        <v>235</v>
      </c>
      <c r="B1176" s="76" t="s">
        <v>3331</v>
      </c>
      <c r="C1176" s="80" t="s">
        <v>953</v>
      </c>
    </row>
    <row r="1177" spans="1:3" ht="15">
      <c r="A1177" s="77" t="s">
        <v>235</v>
      </c>
      <c r="B1177" s="76" t="s">
        <v>3332</v>
      </c>
      <c r="C1177" s="80" t="s">
        <v>953</v>
      </c>
    </row>
    <row r="1178" spans="1:3" ht="15">
      <c r="A1178" s="77" t="s">
        <v>235</v>
      </c>
      <c r="B1178" s="76" t="s">
        <v>2478</v>
      </c>
      <c r="C1178" s="80" t="s">
        <v>953</v>
      </c>
    </row>
    <row r="1179" spans="1:3" ht="15">
      <c r="A1179" s="77" t="s">
        <v>235</v>
      </c>
      <c r="B1179" s="76" t="s">
        <v>2673</v>
      </c>
      <c r="C1179" s="80" t="s">
        <v>953</v>
      </c>
    </row>
    <row r="1180" spans="1:3" ht="15">
      <c r="A1180" s="77" t="s">
        <v>235</v>
      </c>
      <c r="B1180" s="76" t="s">
        <v>2508</v>
      </c>
      <c r="C1180" s="80" t="s">
        <v>953</v>
      </c>
    </row>
    <row r="1181" spans="1:3" ht="15">
      <c r="A1181" s="77" t="s">
        <v>235</v>
      </c>
      <c r="B1181" s="76" t="s">
        <v>3333</v>
      </c>
      <c r="C1181" s="80" t="s">
        <v>953</v>
      </c>
    </row>
    <row r="1182" spans="1:3" ht="15">
      <c r="A1182" s="77" t="s">
        <v>235</v>
      </c>
      <c r="B1182" s="76" t="s">
        <v>3334</v>
      </c>
      <c r="C1182" s="80" t="s">
        <v>953</v>
      </c>
    </row>
    <row r="1183" spans="1:3" ht="15">
      <c r="A1183" s="77" t="s">
        <v>235</v>
      </c>
      <c r="B1183" s="76" t="s">
        <v>3335</v>
      </c>
      <c r="C1183" s="80" t="s">
        <v>953</v>
      </c>
    </row>
    <row r="1184" spans="1:3" ht="15">
      <c r="A1184" s="77" t="s">
        <v>235</v>
      </c>
      <c r="B1184" s="76" t="s">
        <v>2466</v>
      </c>
      <c r="C1184" s="80" t="s">
        <v>953</v>
      </c>
    </row>
    <row r="1185" spans="1:3" ht="15">
      <c r="A1185" s="77" t="s">
        <v>235</v>
      </c>
      <c r="B1185" s="76" t="s">
        <v>3336</v>
      </c>
      <c r="C1185" s="80" t="s">
        <v>953</v>
      </c>
    </row>
    <row r="1186" spans="1:3" ht="15">
      <c r="A1186" s="77" t="s">
        <v>235</v>
      </c>
      <c r="B1186" s="76" t="s">
        <v>3337</v>
      </c>
      <c r="C1186" s="80" t="s">
        <v>953</v>
      </c>
    </row>
    <row r="1187" spans="1:3" ht="15">
      <c r="A1187" s="77" t="s">
        <v>235</v>
      </c>
      <c r="B1187" s="76" t="s">
        <v>3338</v>
      </c>
      <c r="C1187" s="80" t="s">
        <v>953</v>
      </c>
    </row>
    <row r="1188" spans="1:3" ht="15">
      <c r="A1188" s="77" t="s">
        <v>235</v>
      </c>
      <c r="B1188" s="76" t="s">
        <v>3339</v>
      </c>
      <c r="C1188" s="80" t="s">
        <v>953</v>
      </c>
    </row>
    <row r="1189" spans="1:3" ht="15">
      <c r="A1189" s="77" t="s">
        <v>235</v>
      </c>
      <c r="B1189" s="76" t="s">
        <v>3340</v>
      </c>
      <c r="C1189" s="80" t="s">
        <v>953</v>
      </c>
    </row>
    <row r="1190" spans="1:3" ht="15">
      <c r="A1190" s="77" t="s">
        <v>235</v>
      </c>
      <c r="B1190" s="76" t="s">
        <v>2438</v>
      </c>
      <c r="C1190" s="80" t="s">
        <v>953</v>
      </c>
    </row>
    <row r="1191" spans="1:3" ht="15">
      <c r="A1191" s="77" t="s">
        <v>235</v>
      </c>
      <c r="B1191" s="76" t="s">
        <v>3341</v>
      </c>
      <c r="C1191" s="80" t="s">
        <v>953</v>
      </c>
    </row>
    <row r="1192" spans="1:3" ht="15">
      <c r="A1192" s="77" t="s">
        <v>235</v>
      </c>
      <c r="B1192" s="76" t="s">
        <v>3342</v>
      </c>
      <c r="C1192" s="80" t="s">
        <v>953</v>
      </c>
    </row>
    <row r="1193" spans="1:3" ht="15">
      <c r="A1193" s="77" t="s">
        <v>235</v>
      </c>
      <c r="B1193" s="76" t="s">
        <v>3343</v>
      </c>
      <c r="C1193" s="80" t="s">
        <v>953</v>
      </c>
    </row>
    <row r="1194" spans="1:3" ht="15">
      <c r="A1194" s="77" t="s">
        <v>235</v>
      </c>
      <c r="B1194" s="76" t="s">
        <v>3344</v>
      </c>
      <c r="C1194" s="80" t="s">
        <v>953</v>
      </c>
    </row>
    <row r="1195" spans="1:3" ht="15">
      <c r="A1195" s="77" t="s">
        <v>235</v>
      </c>
      <c r="B1195" s="76" t="s">
        <v>3345</v>
      </c>
      <c r="C1195" s="80" t="s">
        <v>953</v>
      </c>
    </row>
    <row r="1196" spans="1:3" ht="15">
      <c r="A1196" s="77" t="s">
        <v>235</v>
      </c>
      <c r="B1196" s="76" t="s">
        <v>3346</v>
      </c>
      <c r="C1196" s="80" t="s">
        <v>953</v>
      </c>
    </row>
    <row r="1197" spans="1:3" ht="15">
      <c r="A1197" s="77" t="s">
        <v>328</v>
      </c>
      <c r="B1197" s="76" t="s">
        <v>3347</v>
      </c>
      <c r="C1197" s="80" t="s">
        <v>1068</v>
      </c>
    </row>
    <row r="1198" spans="1:3" ht="15">
      <c r="A1198" s="77" t="s">
        <v>328</v>
      </c>
      <c r="B1198" s="76" t="s">
        <v>3348</v>
      </c>
      <c r="C1198" s="80" t="s">
        <v>1068</v>
      </c>
    </row>
    <row r="1199" spans="1:3" ht="15">
      <c r="A1199" s="77" t="s">
        <v>328</v>
      </c>
      <c r="B1199" s="76" t="s">
        <v>3349</v>
      </c>
      <c r="C1199" s="80" t="s">
        <v>1068</v>
      </c>
    </row>
    <row r="1200" spans="1:3" ht="15">
      <c r="A1200" s="77" t="s">
        <v>328</v>
      </c>
      <c r="B1200" s="76" t="s">
        <v>2477</v>
      </c>
      <c r="C1200" s="80" t="s">
        <v>1068</v>
      </c>
    </row>
    <row r="1201" spans="1:3" ht="15">
      <c r="A1201" s="77" t="s">
        <v>328</v>
      </c>
      <c r="B1201" s="76" t="s">
        <v>2727</v>
      </c>
      <c r="C1201" s="80" t="s">
        <v>1068</v>
      </c>
    </row>
    <row r="1202" spans="1:3" ht="15">
      <c r="A1202" s="77" t="s">
        <v>328</v>
      </c>
      <c r="B1202" s="76" t="s">
        <v>2641</v>
      </c>
      <c r="C1202" s="80" t="s">
        <v>1068</v>
      </c>
    </row>
    <row r="1203" spans="1:3" ht="15">
      <c r="A1203" s="77" t="s">
        <v>328</v>
      </c>
      <c r="B1203" s="76" t="s">
        <v>2793</v>
      </c>
      <c r="C1203" s="80" t="s">
        <v>1068</v>
      </c>
    </row>
    <row r="1204" spans="1:3" ht="15">
      <c r="A1204" s="77" t="s">
        <v>328</v>
      </c>
      <c r="B1204" s="76" t="s">
        <v>2505</v>
      </c>
      <c r="C1204" s="80" t="s">
        <v>1068</v>
      </c>
    </row>
    <row r="1205" spans="1:3" ht="15">
      <c r="A1205" s="77" t="s">
        <v>328</v>
      </c>
      <c r="B1205" s="76" t="s">
        <v>2577</v>
      </c>
      <c r="C1205" s="80" t="s">
        <v>1068</v>
      </c>
    </row>
    <row r="1206" spans="1:3" ht="15">
      <c r="A1206" s="77" t="s">
        <v>328</v>
      </c>
      <c r="B1206" s="76" t="s">
        <v>3350</v>
      </c>
      <c r="C1206" s="80" t="s">
        <v>1068</v>
      </c>
    </row>
    <row r="1207" spans="1:3" ht="15">
      <c r="A1207" s="77" t="s">
        <v>328</v>
      </c>
      <c r="B1207" s="76" t="s">
        <v>2533</v>
      </c>
      <c r="C1207" s="80" t="s">
        <v>1068</v>
      </c>
    </row>
    <row r="1208" spans="1:3" ht="15">
      <c r="A1208" s="77" t="s">
        <v>328</v>
      </c>
      <c r="B1208" s="76" t="s">
        <v>2571</v>
      </c>
      <c r="C1208" s="80" t="s">
        <v>1068</v>
      </c>
    </row>
    <row r="1209" spans="1:3" ht="15">
      <c r="A1209" s="77" t="s">
        <v>328</v>
      </c>
      <c r="B1209" s="76" t="s">
        <v>2744</v>
      </c>
      <c r="C1209" s="80" t="s">
        <v>1068</v>
      </c>
    </row>
    <row r="1210" spans="1:3" ht="15">
      <c r="A1210" s="77" t="s">
        <v>328</v>
      </c>
      <c r="B1210" s="76" t="s">
        <v>2499</v>
      </c>
      <c r="C1210" s="80" t="s">
        <v>1068</v>
      </c>
    </row>
    <row r="1211" spans="1:3" ht="15">
      <c r="A1211" s="77" t="s">
        <v>328</v>
      </c>
      <c r="B1211" s="76" t="s">
        <v>2706</v>
      </c>
      <c r="C1211" s="80" t="s">
        <v>1068</v>
      </c>
    </row>
    <row r="1212" spans="1:3" ht="15">
      <c r="A1212" s="77" t="s">
        <v>328</v>
      </c>
      <c r="B1212" s="76" t="s">
        <v>2450</v>
      </c>
      <c r="C1212" s="80" t="s">
        <v>1068</v>
      </c>
    </row>
    <row r="1213" spans="1:3" ht="15">
      <c r="A1213" s="77" t="s">
        <v>328</v>
      </c>
      <c r="B1213" s="76" t="s">
        <v>2494</v>
      </c>
      <c r="C1213" s="80" t="s">
        <v>1068</v>
      </c>
    </row>
    <row r="1214" spans="1:3" ht="15">
      <c r="A1214" s="77" t="s">
        <v>225</v>
      </c>
      <c r="B1214" s="76" t="s">
        <v>3351</v>
      </c>
      <c r="C1214" s="80" t="s">
        <v>942</v>
      </c>
    </row>
    <row r="1215" spans="1:3" ht="15">
      <c r="A1215" s="77" t="s">
        <v>225</v>
      </c>
      <c r="B1215" s="76" t="s">
        <v>2613</v>
      </c>
      <c r="C1215" s="80" t="s">
        <v>942</v>
      </c>
    </row>
    <row r="1216" spans="1:3" ht="15">
      <c r="A1216" s="77" t="s">
        <v>225</v>
      </c>
      <c r="B1216" s="76" t="s">
        <v>2669</v>
      </c>
      <c r="C1216" s="80" t="s">
        <v>942</v>
      </c>
    </row>
    <row r="1217" spans="1:3" ht="15">
      <c r="A1217" s="77" t="s">
        <v>225</v>
      </c>
      <c r="B1217" s="76" t="s">
        <v>3352</v>
      </c>
      <c r="C1217" s="80" t="s">
        <v>942</v>
      </c>
    </row>
    <row r="1218" spans="1:3" ht="15">
      <c r="A1218" s="77" t="s">
        <v>225</v>
      </c>
      <c r="B1218" s="76" t="s">
        <v>3353</v>
      </c>
      <c r="C1218" s="80" t="s">
        <v>942</v>
      </c>
    </row>
    <row r="1219" spans="1:3" ht="15">
      <c r="A1219" s="77" t="s">
        <v>225</v>
      </c>
      <c r="B1219" s="76" t="s">
        <v>3354</v>
      </c>
      <c r="C1219" s="80" t="s">
        <v>942</v>
      </c>
    </row>
    <row r="1220" spans="1:3" ht="15">
      <c r="A1220" s="77" t="s">
        <v>225</v>
      </c>
      <c r="B1220" s="76" t="s">
        <v>3355</v>
      </c>
      <c r="C1220" s="80" t="s">
        <v>942</v>
      </c>
    </row>
    <row r="1221" spans="1:3" ht="15">
      <c r="A1221" s="77" t="s">
        <v>225</v>
      </c>
      <c r="B1221" s="76" t="s">
        <v>2438</v>
      </c>
      <c r="C1221" s="80" t="s">
        <v>942</v>
      </c>
    </row>
    <row r="1222" spans="1:3" ht="15">
      <c r="A1222" s="77" t="s">
        <v>225</v>
      </c>
      <c r="B1222" s="76" t="s">
        <v>2439</v>
      </c>
      <c r="C1222" s="80" t="s">
        <v>942</v>
      </c>
    </row>
    <row r="1223" spans="1:3" ht="15">
      <c r="A1223" s="77" t="s">
        <v>225</v>
      </c>
      <c r="B1223" s="76" t="s">
        <v>2768</v>
      </c>
      <c r="C1223" s="80" t="s">
        <v>942</v>
      </c>
    </row>
    <row r="1224" spans="1:3" ht="15">
      <c r="A1224" s="77" t="s">
        <v>225</v>
      </c>
      <c r="B1224" s="76" t="s">
        <v>2456</v>
      </c>
      <c r="C1224" s="80" t="s">
        <v>942</v>
      </c>
    </row>
    <row r="1225" spans="1:3" ht="15">
      <c r="A1225" s="77" t="s">
        <v>225</v>
      </c>
      <c r="B1225" s="76" t="s">
        <v>3356</v>
      </c>
      <c r="C1225" s="80" t="s">
        <v>942</v>
      </c>
    </row>
    <row r="1226" spans="1:3" ht="15">
      <c r="A1226" s="77" t="s">
        <v>225</v>
      </c>
      <c r="B1226" s="76" t="s">
        <v>3357</v>
      </c>
      <c r="C1226" s="80" t="s">
        <v>942</v>
      </c>
    </row>
    <row r="1227" spans="1:3" ht="15">
      <c r="A1227" s="77" t="s">
        <v>225</v>
      </c>
      <c r="B1227" s="76" t="s">
        <v>3358</v>
      </c>
      <c r="C1227" s="80" t="s">
        <v>942</v>
      </c>
    </row>
    <row r="1228" spans="1:3" ht="15">
      <c r="A1228" s="77" t="s">
        <v>225</v>
      </c>
      <c r="B1228" s="76" t="s">
        <v>2440</v>
      </c>
      <c r="C1228" s="80" t="s">
        <v>942</v>
      </c>
    </row>
    <row r="1229" spans="1:3" ht="15">
      <c r="A1229" s="77" t="s">
        <v>225</v>
      </c>
      <c r="B1229" s="76" t="s">
        <v>3359</v>
      </c>
      <c r="C1229" s="80" t="s">
        <v>942</v>
      </c>
    </row>
    <row r="1230" spans="1:3" ht="15">
      <c r="A1230" s="77" t="s">
        <v>225</v>
      </c>
      <c r="B1230" s="76" t="s">
        <v>3360</v>
      </c>
      <c r="C1230" s="80" t="s">
        <v>942</v>
      </c>
    </row>
    <row r="1231" spans="1:3" ht="15">
      <c r="A1231" s="77" t="s">
        <v>225</v>
      </c>
      <c r="B1231" s="76" t="s">
        <v>342</v>
      </c>
      <c r="C1231" s="80" t="s">
        <v>942</v>
      </c>
    </row>
    <row r="1232" spans="1:3" ht="15">
      <c r="A1232" s="77" t="s">
        <v>225</v>
      </c>
      <c r="B1232" s="76" t="s">
        <v>343</v>
      </c>
      <c r="C1232" s="80" t="s">
        <v>942</v>
      </c>
    </row>
    <row r="1233" spans="1:3" ht="15">
      <c r="A1233" s="77" t="s">
        <v>225</v>
      </c>
      <c r="B1233" s="76" t="s">
        <v>344</v>
      </c>
      <c r="C1233" s="80" t="s">
        <v>942</v>
      </c>
    </row>
    <row r="1234" spans="1:3" ht="15">
      <c r="A1234" s="77" t="s">
        <v>225</v>
      </c>
      <c r="B1234" s="76" t="s">
        <v>345</v>
      </c>
      <c r="C1234" s="80" t="s">
        <v>942</v>
      </c>
    </row>
    <row r="1235" spans="1:3" ht="15">
      <c r="A1235" s="77" t="s">
        <v>225</v>
      </c>
      <c r="B1235" s="76" t="s">
        <v>346</v>
      </c>
      <c r="C1235" s="80" t="s">
        <v>942</v>
      </c>
    </row>
    <row r="1236" spans="1:3" ht="15">
      <c r="A1236" s="77" t="s">
        <v>308</v>
      </c>
      <c r="B1236" s="76" t="s">
        <v>2477</v>
      </c>
      <c r="C1236" s="80" t="s">
        <v>1033</v>
      </c>
    </row>
    <row r="1237" spans="1:3" ht="15">
      <c r="A1237" s="77" t="s">
        <v>308</v>
      </c>
      <c r="B1237" s="76" t="s">
        <v>3361</v>
      </c>
      <c r="C1237" s="80" t="s">
        <v>1033</v>
      </c>
    </row>
    <row r="1238" spans="1:3" ht="15">
      <c r="A1238" s="77" t="s">
        <v>308</v>
      </c>
      <c r="B1238" s="76" t="s">
        <v>2438</v>
      </c>
      <c r="C1238" s="80" t="s">
        <v>1033</v>
      </c>
    </row>
    <row r="1239" spans="1:3" ht="15">
      <c r="A1239" s="77" t="s">
        <v>308</v>
      </c>
      <c r="B1239" s="76" t="s">
        <v>2452</v>
      </c>
      <c r="C1239" s="80" t="s">
        <v>1033</v>
      </c>
    </row>
    <row r="1240" spans="1:3" ht="15">
      <c r="A1240" s="77" t="s">
        <v>308</v>
      </c>
      <c r="B1240" s="76" t="s">
        <v>2462</v>
      </c>
      <c r="C1240" s="80" t="s">
        <v>1033</v>
      </c>
    </row>
    <row r="1241" spans="1:3" ht="15">
      <c r="A1241" s="77" t="s">
        <v>308</v>
      </c>
      <c r="B1241" s="76" t="s">
        <v>3362</v>
      </c>
      <c r="C1241" s="80" t="s">
        <v>1033</v>
      </c>
    </row>
    <row r="1242" spans="1:3" ht="15">
      <c r="A1242" s="77" t="s">
        <v>308</v>
      </c>
      <c r="B1242" s="76" t="s">
        <v>2659</v>
      </c>
      <c r="C1242" s="80" t="s">
        <v>1033</v>
      </c>
    </row>
    <row r="1243" spans="1:3" ht="15">
      <c r="A1243" s="77" t="s">
        <v>308</v>
      </c>
      <c r="B1243" s="76" t="s">
        <v>2610</v>
      </c>
      <c r="C1243" s="80" t="s">
        <v>1033</v>
      </c>
    </row>
    <row r="1244" spans="1:3" ht="15">
      <c r="A1244" s="77" t="s">
        <v>308</v>
      </c>
      <c r="B1244" s="76" t="s">
        <v>3363</v>
      </c>
      <c r="C1244" s="80" t="s">
        <v>1033</v>
      </c>
    </row>
    <row r="1245" spans="1:3" ht="15">
      <c r="A1245" s="77" t="s">
        <v>308</v>
      </c>
      <c r="B1245" s="76" t="s">
        <v>2729</v>
      </c>
      <c r="C1245" s="80" t="s">
        <v>1033</v>
      </c>
    </row>
    <row r="1246" spans="1:3" ht="15">
      <c r="A1246" s="77" t="s">
        <v>308</v>
      </c>
      <c r="B1246" s="76" t="s">
        <v>2442</v>
      </c>
      <c r="C1246" s="80" t="s">
        <v>1033</v>
      </c>
    </row>
    <row r="1247" spans="1:3" ht="15">
      <c r="A1247" s="77" t="s">
        <v>308</v>
      </c>
      <c r="B1247" s="76" t="s">
        <v>3364</v>
      </c>
      <c r="C1247" s="80" t="s">
        <v>1033</v>
      </c>
    </row>
    <row r="1248" spans="1:3" ht="15">
      <c r="A1248" s="77" t="s">
        <v>308</v>
      </c>
      <c r="B1248" s="76" t="s">
        <v>3365</v>
      </c>
      <c r="C1248" s="80" t="s">
        <v>1033</v>
      </c>
    </row>
    <row r="1249" spans="1:3" ht="15">
      <c r="A1249" s="77" t="s">
        <v>308</v>
      </c>
      <c r="B1249" s="76" t="s">
        <v>3366</v>
      </c>
      <c r="C1249" s="80" t="s">
        <v>1033</v>
      </c>
    </row>
    <row r="1250" spans="1:3" ht="15">
      <c r="A1250" s="77" t="s">
        <v>308</v>
      </c>
      <c r="B1250" s="76" t="s">
        <v>3367</v>
      </c>
      <c r="C1250" s="80" t="s">
        <v>1033</v>
      </c>
    </row>
    <row r="1251" spans="1:3" ht="15">
      <c r="A1251" s="77" t="s">
        <v>308</v>
      </c>
      <c r="B1251" s="76" t="s">
        <v>2782</v>
      </c>
      <c r="C1251" s="80" t="s">
        <v>1033</v>
      </c>
    </row>
    <row r="1252" spans="1:3" ht="15">
      <c r="A1252" s="77" t="s">
        <v>308</v>
      </c>
      <c r="B1252" s="76" t="s">
        <v>2556</v>
      </c>
      <c r="C1252" s="80" t="s">
        <v>1033</v>
      </c>
    </row>
    <row r="1253" spans="1:3" ht="15">
      <c r="A1253" s="77" t="s">
        <v>308</v>
      </c>
      <c r="B1253" s="76" t="s">
        <v>2465</v>
      </c>
      <c r="C1253" s="80" t="s">
        <v>1033</v>
      </c>
    </row>
    <row r="1254" spans="1:3" ht="15">
      <c r="A1254" s="77" t="s">
        <v>308</v>
      </c>
      <c r="B1254" s="76" t="s">
        <v>2457</v>
      </c>
      <c r="C1254" s="80" t="s">
        <v>1033</v>
      </c>
    </row>
    <row r="1255" spans="1:3" ht="15">
      <c r="A1255" s="77" t="s">
        <v>308</v>
      </c>
      <c r="B1255" s="76" t="s">
        <v>3368</v>
      </c>
      <c r="C1255" s="80" t="s">
        <v>1033</v>
      </c>
    </row>
    <row r="1256" spans="1:3" ht="15">
      <c r="A1256" s="77" t="s">
        <v>308</v>
      </c>
      <c r="B1256" s="76" t="s">
        <v>3369</v>
      </c>
      <c r="C1256" s="80" t="s">
        <v>1033</v>
      </c>
    </row>
    <row r="1257" spans="1:3" ht="15">
      <c r="A1257" s="77" t="s">
        <v>308</v>
      </c>
      <c r="B1257" s="76" t="s">
        <v>3370</v>
      </c>
      <c r="C1257" s="80" t="s">
        <v>1033</v>
      </c>
    </row>
    <row r="1258" spans="1:3" ht="15">
      <c r="A1258" s="77" t="s">
        <v>308</v>
      </c>
      <c r="B1258" s="76" t="s">
        <v>408</v>
      </c>
      <c r="C1258" s="80" t="s">
        <v>1033</v>
      </c>
    </row>
    <row r="1259" spans="1:3" ht="15">
      <c r="A1259" s="77" t="s">
        <v>228</v>
      </c>
      <c r="B1259" s="76" t="s">
        <v>2587</v>
      </c>
      <c r="C1259" s="80" t="s">
        <v>945</v>
      </c>
    </row>
    <row r="1260" spans="1:3" ht="15">
      <c r="A1260" s="77" t="s">
        <v>228</v>
      </c>
      <c r="B1260" s="76" t="s">
        <v>3371</v>
      </c>
      <c r="C1260" s="80" t="s">
        <v>945</v>
      </c>
    </row>
    <row r="1261" spans="1:3" ht="15">
      <c r="A1261" s="77" t="s">
        <v>228</v>
      </c>
      <c r="B1261" s="76" t="s">
        <v>3372</v>
      </c>
      <c r="C1261" s="80" t="s">
        <v>945</v>
      </c>
    </row>
    <row r="1262" spans="1:3" ht="15">
      <c r="A1262" s="77" t="s">
        <v>228</v>
      </c>
      <c r="B1262" s="76" t="s">
        <v>2461</v>
      </c>
      <c r="C1262" s="80" t="s">
        <v>945</v>
      </c>
    </row>
    <row r="1263" spans="1:3" ht="15">
      <c r="A1263" s="77" t="s">
        <v>228</v>
      </c>
      <c r="B1263" s="76" t="s">
        <v>3373</v>
      </c>
      <c r="C1263" s="80" t="s">
        <v>945</v>
      </c>
    </row>
    <row r="1264" spans="1:3" ht="15">
      <c r="A1264" s="77" t="s">
        <v>228</v>
      </c>
      <c r="B1264" s="76" t="s">
        <v>3374</v>
      </c>
      <c r="C1264" s="80" t="s">
        <v>945</v>
      </c>
    </row>
    <row r="1265" spans="1:3" ht="15">
      <c r="A1265" s="77" t="s">
        <v>228</v>
      </c>
      <c r="B1265" s="76" t="s">
        <v>3375</v>
      </c>
      <c r="C1265" s="80" t="s">
        <v>945</v>
      </c>
    </row>
    <row r="1266" spans="1:3" ht="15">
      <c r="A1266" s="77" t="s">
        <v>228</v>
      </c>
      <c r="B1266" s="76" t="s">
        <v>2495</v>
      </c>
      <c r="C1266" s="80" t="s">
        <v>945</v>
      </c>
    </row>
    <row r="1267" spans="1:3" ht="15">
      <c r="A1267" s="77" t="s">
        <v>228</v>
      </c>
      <c r="B1267" s="76" t="s">
        <v>2670</v>
      </c>
      <c r="C1267" s="80" t="s">
        <v>945</v>
      </c>
    </row>
    <row r="1268" spans="1:3" ht="15">
      <c r="A1268" s="77" t="s">
        <v>228</v>
      </c>
      <c r="B1268" s="76" t="s">
        <v>2451</v>
      </c>
      <c r="C1268" s="80" t="s">
        <v>945</v>
      </c>
    </row>
    <row r="1269" spans="1:3" ht="15">
      <c r="A1269" s="77" t="s">
        <v>228</v>
      </c>
      <c r="B1269" s="76" t="s">
        <v>2491</v>
      </c>
      <c r="C1269" s="80" t="s">
        <v>945</v>
      </c>
    </row>
    <row r="1270" spans="1:3" ht="15">
      <c r="A1270" s="77" t="s">
        <v>228</v>
      </c>
      <c r="B1270" s="76" t="s">
        <v>2438</v>
      </c>
      <c r="C1270" s="80" t="s">
        <v>945</v>
      </c>
    </row>
    <row r="1271" spans="1:3" ht="15">
      <c r="A1271" s="77" t="s">
        <v>228</v>
      </c>
      <c r="B1271" s="76" t="s">
        <v>3376</v>
      </c>
      <c r="C1271" s="80" t="s">
        <v>945</v>
      </c>
    </row>
    <row r="1272" spans="1:3" ht="15">
      <c r="A1272" s="77" t="s">
        <v>228</v>
      </c>
      <c r="B1272" s="76" t="s">
        <v>2789</v>
      </c>
      <c r="C1272" s="80" t="s">
        <v>945</v>
      </c>
    </row>
    <row r="1273" spans="1:3" ht="15">
      <c r="A1273" s="77" t="s">
        <v>228</v>
      </c>
      <c r="B1273" s="76" t="s">
        <v>3377</v>
      </c>
      <c r="C1273" s="80" t="s">
        <v>945</v>
      </c>
    </row>
    <row r="1274" spans="1:3" ht="15">
      <c r="A1274" s="77" t="s">
        <v>228</v>
      </c>
      <c r="B1274" s="76" t="s">
        <v>2720</v>
      </c>
      <c r="C1274" s="80" t="s">
        <v>945</v>
      </c>
    </row>
    <row r="1275" spans="1:3" ht="15">
      <c r="A1275" s="77" t="s">
        <v>228</v>
      </c>
      <c r="B1275" s="76" t="s">
        <v>2454</v>
      </c>
      <c r="C1275" s="80" t="s">
        <v>945</v>
      </c>
    </row>
    <row r="1276" spans="1:3" ht="15">
      <c r="A1276" s="77" t="s">
        <v>228</v>
      </c>
      <c r="B1276" s="76" t="s">
        <v>3378</v>
      </c>
      <c r="C1276" s="80" t="s">
        <v>945</v>
      </c>
    </row>
    <row r="1277" spans="1:3" ht="15">
      <c r="A1277" s="77" t="s">
        <v>228</v>
      </c>
      <c r="B1277" s="76" t="s">
        <v>2651</v>
      </c>
      <c r="C1277" s="80" t="s">
        <v>945</v>
      </c>
    </row>
    <row r="1278" spans="1:3" ht="15">
      <c r="A1278" s="77" t="s">
        <v>228</v>
      </c>
      <c r="B1278" s="76" t="s">
        <v>3379</v>
      </c>
      <c r="C1278" s="80" t="s">
        <v>945</v>
      </c>
    </row>
    <row r="1279" spans="1:3" ht="15">
      <c r="A1279" s="77" t="s">
        <v>228</v>
      </c>
      <c r="B1279" s="76" t="s">
        <v>2457</v>
      </c>
      <c r="C1279" s="80" t="s">
        <v>945</v>
      </c>
    </row>
    <row r="1280" spans="1:3" ht="15">
      <c r="A1280" s="77" t="s">
        <v>228</v>
      </c>
      <c r="B1280" s="76" t="s">
        <v>3380</v>
      </c>
      <c r="C1280" s="80" t="s">
        <v>945</v>
      </c>
    </row>
    <row r="1281" spans="1:3" ht="15">
      <c r="A1281" s="77" t="s">
        <v>228</v>
      </c>
      <c r="B1281" s="76" t="s">
        <v>2535</v>
      </c>
      <c r="C1281" s="80" t="s">
        <v>945</v>
      </c>
    </row>
    <row r="1282" spans="1:3" ht="15">
      <c r="A1282" s="77" t="s">
        <v>228</v>
      </c>
      <c r="B1282" s="76" t="s">
        <v>349</v>
      </c>
      <c r="C1282" s="80" t="s">
        <v>945</v>
      </c>
    </row>
    <row r="1283" spans="1:3" ht="15">
      <c r="A1283" s="77" t="s">
        <v>307</v>
      </c>
      <c r="B1283" s="76" t="s">
        <v>3381</v>
      </c>
      <c r="C1283" s="80" t="s">
        <v>1032</v>
      </c>
    </row>
    <row r="1284" spans="1:3" ht="15">
      <c r="A1284" s="77" t="s">
        <v>307</v>
      </c>
      <c r="B1284" s="76" t="s">
        <v>3382</v>
      </c>
      <c r="C1284" s="80" t="s">
        <v>1032</v>
      </c>
    </row>
    <row r="1285" spans="1:3" ht="15">
      <c r="A1285" s="77" t="s">
        <v>307</v>
      </c>
      <c r="B1285" s="76" t="s">
        <v>3383</v>
      </c>
      <c r="C1285" s="80" t="s">
        <v>1032</v>
      </c>
    </row>
    <row r="1286" spans="1:3" ht="15">
      <c r="A1286" s="77" t="s">
        <v>307</v>
      </c>
      <c r="B1286" s="76" t="s">
        <v>3384</v>
      </c>
      <c r="C1286" s="80" t="s">
        <v>1032</v>
      </c>
    </row>
    <row r="1287" spans="1:3" ht="15">
      <c r="A1287" s="77" t="s">
        <v>307</v>
      </c>
      <c r="B1287" s="76" t="s">
        <v>2466</v>
      </c>
      <c r="C1287" s="80" t="s">
        <v>1032</v>
      </c>
    </row>
    <row r="1288" spans="1:3" ht="15">
      <c r="A1288" s="77" t="s">
        <v>307</v>
      </c>
      <c r="B1288" s="76" t="s">
        <v>3385</v>
      </c>
      <c r="C1288" s="80" t="s">
        <v>1032</v>
      </c>
    </row>
    <row r="1289" spans="1:3" ht="15">
      <c r="A1289" s="77" t="s">
        <v>307</v>
      </c>
      <c r="B1289" s="76" t="s">
        <v>2485</v>
      </c>
      <c r="C1289" s="80" t="s">
        <v>1032</v>
      </c>
    </row>
    <row r="1290" spans="1:3" ht="15">
      <c r="A1290" s="77" t="s">
        <v>307</v>
      </c>
      <c r="B1290" s="76" t="s">
        <v>2456</v>
      </c>
      <c r="C1290" s="80" t="s">
        <v>1032</v>
      </c>
    </row>
    <row r="1291" spans="1:3" ht="15">
      <c r="A1291" s="77" t="s">
        <v>307</v>
      </c>
      <c r="B1291" s="76" t="s">
        <v>2770</v>
      </c>
      <c r="C1291" s="80" t="s">
        <v>1032</v>
      </c>
    </row>
    <row r="1292" spans="1:3" ht="15">
      <c r="A1292" s="77" t="s">
        <v>307</v>
      </c>
      <c r="B1292" s="76" t="s">
        <v>2630</v>
      </c>
      <c r="C1292" s="80" t="s">
        <v>1032</v>
      </c>
    </row>
    <row r="1293" spans="1:3" ht="15">
      <c r="A1293" s="77" t="s">
        <v>307</v>
      </c>
      <c r="B1293" s="76" t="s">
        <v>3386</v>
      </c>
      <c r="C1293" s="80" t="s">
        <v>1032</v>
      </c>
    </row>
    <row r="1294" spans="1:3" ht="15">
      <c r="A1294" s="77" t="s">
        <v>307</v>
      </c>
      <c r="B1294" s="76" t="s">
        <v>3387</v>
      </c>
      <c r="C1294" s="80" t="s">
        <v>1032</v>
      </c>
    </row>
    <row r="1295" spans="1:3" ht="15">
      <c r="A1295" s="77" t="s">
        <v>307</v>
      </c>
      <c r="B1295" s="76" t="s">
        <v>2710</v>
      </c>
      <c r="C1295" s="80" t="s">
        <v>1032</v>
      </c>
    </row>
    <row r="1296" spans="1:3" ht="15">
      <c r="A1296" s="77" t="s">
        <v>307</v>
      </c>
      <c r="B1296" s="76" t="s">
        <v>2498</v>
      </c>
      <c r="C1296" s="80" t="s">
        <v>1032</v>
      </c>
    </row>
    <row r="1297" spans="1:3" ht="15">
      <c r="A1297" s="77" t="s">
        <v>307</v>
      </c>
      <c r="B1297" s="76" t="s">
        <v>2668</v>
      </c>
      <c r="C1297" s="80" t="s">
        <v>1032</v>
      </c>
    </row>
    <row r="1298" spans="1:3" ht="15">
      <c r="A1298" s="77" t="s">
        <v>307</v>
      </c>
      <c r="B1298" s="76" t="s">
        <v>2620</v>
      </c>
      <c r="C1298" s="80" t="s">
        <v>1032</v>
      </c>
    </row>
    <row r="1299" spans="1:3" ht="15">
      <c r="A1299" s="77" t="s">
        <v>307</v>
      </c>
      <c r="B1299" s="76" t="s">
        <v>2451</v>
      </c>
      <c r="C1299" s="80" t="s">
        <v>1032</v>
      </c>
    </row>
    <row r="1300" spans="1:3" ht="15">
      <c r="A1300" s="77" t="s">
        <v>307</v>
      </c>
      <c r="B1300" s="76" t="s">
        <v>2438</v>
      </c>
      <c r="C1300" s="80" t="s">
        <v>1032</v>
      </c>
    </row>
    <row r="1301" spans="1:3" ht="15">
      <c r="A1301" s="77" t="s">
        <v>307</v>
      </c>
      <c r="B1301" s="76" t="s">
        <v>2582</v>
      </c>
      <c r="C1301" s="80" t="s">
        <v>1032</v>
      </c>
    </row>
    <row r="1302" spans="1:3" ht="15">
      <c r="A1302" s="77" t="s">
        <v>307</v>
      </c>
      <c r="B1302" s="76" t="s">
        <v>2572</v>
      </c>
      <c r="C1302" s="80" t="s">
        <v>1032</v>
      </c>
    </row>
    <row r="1303" spans="1:3" ht="15">
      <c r="A1303" s="77" t="s">
        <v>307</v>
      </c>
      <c r="B1303" s="76" t="s">
        <v>3388</v>
      </c>
      <c r="C1303" s="80" t="s">
        <v>1032</v>
      </c>
    </row>
    <row r="1304" spans="1:3" ht="15">
      <c r="A1304" s="77" t="s">
        <v>307</v>
      </c>
      <c r="B1304" s="76" t="s">
        <v>2479</v>
      </c>
      <c r="C1304" s="80" t="s">
        <v>1032</v>
      </c>
    </row>
    <row r="1305" spans="1:3" ht="15">
      <c r="A1305" s="77" t="s">
        <v>336</v>
      </c>
      <c r="B1305" s="76" t="s">
        <v>335</v>
      </c>
      <c r="C1305" s="80" t="s">
        <v>1076</v>
      </c>
    </row>
    <row r="1306" spans="1:3" ht="15">
      <c r="A1306" s="77" t="s">
        <v>336</v>
      </c>
      <c r="B1306" s="76">
        <v>2022</v>
      </c>
      <c r="C1306" s="80" t="s">
        <v>1076</v>
      </c>
    </row>
    <row r="1307" spans="1:3" ht="15">
      <c r="A1307" s="77" t="s">
        <v>336</v>
      </c>
      <c r="B1307" s="76" t="s">
        <v>3389</v>
      </c>
      <c r="C1307" s="80" t="s">
        <v>1076</v>
      </c>
    </row>
    <row r="1308" spans="1:3" ht="15">
      <c r="A1308" s="77" t="s">
        <v>336</v>
      </c>
      <c r="B1308" s="76" t="s">
        <v>3390</v>
      </c>
      <c r="C1308" s="80" t="s">
        <v>1076</v>
      </c>
    </row>
    <row r="1309" spans="1:3" ht="15">
      <c r="A1309" s="77" t="s">
        <v>336</v>
      </c>
      <c r="B1309" s="76" t="s">
        <v>3391</v>
      </c>
      <c r="C1309" s="80" t="s">
        <v>1076</v>
      </c>
    </row>
    <row r="1310" spans="1:3" ht="15">
      <c r="A1310" s="77" t="s">
        <v>336</v>
      </c>
      <c r="B1310" s="76" t="s">
        <v>2769</v>
      </c>
      <c r="C1310" s="80" t="s">
        <v>1076</v>
      </c>
    </row>
    <row r="1311" spans="1:3" ht="15">
      <c r="A1311" s="77" t="s">
        <v>336</v>
      </c>
      <c r="B1311" s="76" t="s">
        <v>2749</v>
      </c>
      <c r="C1311" s="80" t="s">
        <v>1076</v>
      </c>
    </row>
    <row r="1312" spans="1:3" ht="15">
      <c r="A1312" s="77" t="s">
        <v>336</v>
      </c>
      <c r="B1312" s="76" t="s">
        <v>2789</v>
      </c>
      <c r="C1312" s="80" t="s">
        <v>1076</v>
      </c>
    </row>
    <row r="1313" spans="1:3" ht="15">
      <c r="A1313" s="77" t="s">
        <v>336</v>
      </c>
      <c r="B1313" s="76" t="s">
        <v>2688</v>
      </c>
      <c r="C1313" s="80" t="s">
        <v>1076</v>
      </c>
    </row>
    <row r="1314" spans="1:3" ht="15">
      <c r="A1314" s="77" t="s">
        <v>336</v>
      </c>
      <c r="B1314" s="76" t="s">
        <v>3392</v>
      </c>
      <c r="C1314" s="80" t="s">
        <v>1076</v>
      </c>
    </row>
    <row r="1315" spans="1:3" ht="15">
      <c r="A1315" s="77" t="s">
        <v>336</v>
      </c>
      <c r="B1315" s="76" t="s">
        <v>2483</v>
      </c>
      <c r="C1315" s="80" t="s">
        <v>1076</v>
      </c>
    </row>
    <row r="1316" spans="1:3" ht="15">
      <c r="A1316" s="77" t="s">
        <v>336</v>
      </c>
      <c r="B1316" s="76" t="s">
        <v>2509</v>
      </c>
      <c r="C1316" s="80" t="s">
        <v>1076</v>
      </c>
    </row>
    <row r="1317" spans="1:3" ht="15">
      <c r="A1317" s="77" t="s">
        <v>336</v>
      </c>
      <c r="B1317" s="76" t="s">
        <v>2450</v>
      </c>
      <c r="C1317" s="80" t="s">
        <v>1076</v>
      </c>
    </row>
    <row r="1318" spans="1:3" ht="15">
      <c r="A1318" s="77" t="s">
        <v>336</v>
      </c>
      <c r="B1318" s="76" t="s">
        <v>3393</v>
      </c>
      <c r="C1318" s="80" t="s">
        <v>1076</v>
      </c>
    </row>
    <row r="1319" spans="1:3" ht="15">
      <c r="A1319" s="77" t="s">
        <v>336</v>
      </c>
      <c r="B1319" s="76" t="s">
        <v>3394</v>
      </c>
      <c r="C1319" s="80" t="s">
        <v>1076</v>
      </c>
    </row>
    <row r="1320" spans="1:3" ht="15">
      <c r="A1320" s="77" t="s">
        <v>336</v>
      </c>
      <c r="B1320" s="76">
        <v>29</v>
      </c>
      <c r="C1320" s="80" t="s">
        <v>1076</v>
      </c>
    </row>
    <row r="1321" spans="1:3" ht="15">
      <c r="A1321" s="77" t="s">
        <v>336</v>
      </c>
      <c r="B1321" s="76" t="s">
        <v>3395</v>
      </c>
      <c r="C1321" s="80" t="s">
        <v>1076</v>
      </c>
    </row>
    <row r="1322" spans="1:3" ht="15">
      <c r="A1322" s="77" t="s">
        <v>336</v>
      </c>
      <c r="B1322" s="76" t="s">
        <v>2719</v>
      </c>
      <c r="C1322" s="80" t="s">
        <v>1076</v>
      </c>
    </row>
    <row r="1323" spans="1:3" ht="15">
      <c r="A1323" s="77" t="s">
        <v>336</v>
      </c>
      <c r="B1323" s="76" t="s">
        <v>3396</v>
      </c>
      <c r="C1323" s="80" t="s">
        <v>1076</v>
      </c>
    </row>
    <row r="1324" spans="1:3" ht="15">
      <c r="A1324" s="77" t="s">
        <v>336</v>
      </c>
      <c r="B1324" s="76" t="s">
        <v>3397</v>
      </c>
      <c r="C1324" s="80" t="s">
        <v>1076</v>
      </c>
    </row>
    <row r="1325" spans="1:3" ht="15">
      <c r="A1325" s="77" t="s">
        <v>336</v>
      </c>
      <c r="B1325" s="76" t="s">
        <v>3398</v>
      </c>
      <c r="C1325" s="80" t="s">
        <v>1076</v>
      </c>
    </row>
    <row r="1326" spans="1:3" ht="15">
      <c r="A1326" s="77" t="s">
        <v>336</v>
      </c>
      <c r="B1326" s="76" t="s">
        <v>2569</v>
      </c>
      <c r="C1326" s="80" t="s">
        <v>1076</v>
      </c>
    </row>
    <row r="1327" spans="1:3" ht="15">
      <c r="A1327" s="77" t="s">
        <v>336</v>
      </c>
      <c r="B1327" s="76" t="s">
        <v>2440</v>
      </c>
      <c r="C1327" s="80" t="s">
        <v>1076</v>
      </c>
    </row>
    <row r="1328" spans="1:3" ht="15">
      <c r="A1328" s="77" t="s">
        <v>336</v>
      </c>
      <c r="B1328" s="76">
        <v>16</v>
      </c>
      <c r="C1328" s="80" t="s">
        <v>1076</v>
      </c>
    </row>
    <row r="1329" spans="1:3" ht="15">
      <c r="A1329" s="77" t="s">
        <v>336</v>
      </c>
      <c r="B1329" s="76" t="s">
        <v>3399</v>
      </c>
      <c r="C1329" s="80" t="s">
        <v>1076</v>
      </c>
    </row>
    <row r="1330" spans="1:3" ht="15">
      <c r="A1330" s="77" t="s">
        <v>336</v>
      </c>
      <c r="B1330" s="76" t="s">
        <v>3400</v>
      </c>
      <c r="C1330" s="80" t="s">
        <v>1076</v>
      </c>
    </row>
    <row r="1331" spans="1:3" ht="15">
      <c r="A1331" s="77" t="s">
        <v>336</v>
      </c>
      <c r="B1331" s="76" t="s">
        <v>2588</v>
      </c>
      <c r="C1331" s="80" t="s">
        <v>1076</v>
      </c>
    </row>
    <row r="1332" spans="1:3" ht="15">
      <c r="A1332" s="77" t="s">
        <v>337</v>
      </c>
      <c r="B1332" s="76" t="s">
        <v>3224</v>
      </c>
      <c r="C1332" s="80" t="s">
        <v>1078</v>
      </c>
    </row>
    <row r="1333" spans="1:3" ht="15">
      <c r="A1333" s="77" t="s">
        <v>337</v>
      </c>
      <c r="B1333" s="76" t="s">
        <v>3223</v>
      </c>
      <c r="C1333" s="80" t="s">
        <v>1078</v>
      </c>
    </row>
    <row r="1334" spans="1:3" ht="15">
      <c r="A1334" s="77" t="s">
        <v>337</v>
      </c>
      <c r="B1334" s="76" t="s">
        <v>3401</v>
      </c>
      <c r="C1334" s="80" t="s">
        <v>1078</v>
      </c>
    </row>
    <row r="1335" spans="1:3" ht="15">
      <c r="A1335" s="77" t="s">
        <v>337</v>
      </c>
      <c r="B1335" s="76" t="s">
        <v>2561</v>
      </c>
      <c r="C1335" s="80" t="s">
        <v>1078</v>
      </c>
    </row>
    <row r="1336" spans="1:3" ht="15">
      <c r="A1336" s="77" t="s">
        <v>337</v>
      </c>
      <c r="B1336" s="76">
        <v>205</v>
      </c>
      <c r="C1336" s="80" t="s">
        <v>1078</v>
      </c>
    </row>
    <row r="1337" spans="1:3" ht="15">
      <c r="A1337" s="77" t="s">
        <v>337</v>
      </c>
      <c r="B1337" s="76" t="s">
        <v>2764</v>
      </c>
      <c r="C1337" s="80" t="s">
        <v>1078</v>
      </c>
    </row>
    <row r="1338" spans="1:3" ht="15">
      <c r="A1338" s="77" t="s">
        <v>337</v>
      </c>
      <c r="B1338" s="76" t="s">
        <v>3402</v>
      </c>
      <c r="C1338" s="80" t="s">
        <v>1078</v>
      </c>
    </row>
    <row r="1339" spans="1:3" ht="15">
      <c r="A1339" s="77" t="s">
        <v>337</v>
      </c>
      <c r="B1339" s="76" t="s">
        <v>2438</v>
      </c>
      <c r="C1339" s="80" t="s">
        <v>1078</v>
      </c>
    </row>
    <row r="1340" spans="1:3" ht="15">
      <c r="A1340" s="77" t="s">
        <v>337</v>
      </c>
      <c r="B1340" s="76" t="s">
        <v>3403</v>
      </c>
      <c r="C1340" s="80" t="s">
        <v>1078</v>
      </c>
    </row>
    <row r="1341" spans="1:3" ht="15">
      <c r="A1341" s="77" t="s">
        <v>337</v>
      </c>
      <c r="B1341" s="76" t="s">
        <v>2457</v>
      </c>
      <c r="C1341" s="80" t="s">
        <v>1078</v>
      </c>
    </row>
    <row r="1342" spans="1:3" ht="15">
      <c r="A1342" s="77" t="s">
        <v>337</v>
      </c>
      <c r="B1342" s="76" t="s">
        <v>2566</v>
      </c>
      <c r="C1342" s="80" t="s">
        <v>1078</v>
      </c>
    </row>
    <row r="1343" spans="1:3" ht="15">
      <c r="A1343" s="77" t="s">
        <v>337</v>
      </c>
      <c r="B1343" s="76" t="s">
        <v>2782</v>
      </c>
      <c r="C1343" s="80" t="s">
        <v>1078</v>
      </c>
    </row>
    <row r="1344" spans="1:3" ht="15">
      <c r="A1344" s="77" t="s">
        <v>337</v>
      </c>
      <c r="B1344" s="76" t="s">
        <v>3404</v>
      </c>
      <c r="C1344" s="80" t="s">
        <v>1078</v>
      </c>
    </row>
    <row r="1345" spans="1:3" ht="15">
      <c r="A1345" s="77" t="s">
        <v>337</v>
      </c>
      <c r="B1345" s="76" t="s">
        <v>3405</v>
      </c>
      <c r="C1345" s="80" t="s">
        <v>1078</v>
      </c>
    </row>
    <row r="1346" spans="1:3" ht="15">
      <c r="A1346" s="77" t="s">
        <v>337</v>
      </c>
      <c r="B1346" s="76" t="s">
        <v>3406</v>
      </c>
      <c r="C1346" s="80" t="s">
        <v>1078</v>
      </c>
    </row>
    <row r="1347" spans="1:3" ht="15">
      <c r="A1347" s="77" t="s">
        <v>337</v>
      </c>
      <c r="B1347" s="76" t="s">
        <v>350</v>
      </c>
      <c r="C1347" s="80" t="s">
        <v>1078</v>
      </c>
    </row>
    <row r="1348" spans="1:3" ht="15">
      <c r="A1348" s="77" t="s">
        <v>310</v>
      </c>
      <c r="B1348" s="76" t="s">
        <v>3407</v>
      </c>
      <c r="C1348" s="80" t="s">
        <v>1040</v>
      </c>
    </row>
    <row r="1349" spans="1:3" ht="15">
      <c r="A1349" s="77" t="s">
        <v>310</v>
      </c>
      <c r="B1349" s="76" t="s">
        <v>3408</v>
      </c>
      <c r="C1349" s="80" t="s">
        <v>1040</v>
      </c>
    </row>
    <row r="1350" spans="1:3" ht="15">
      <c r="A1350" s="77" t="s">
        <v>310</v>
      </c>
      <c r="B1350" s="76" t="s">
        <v>2647</v>
      </c>
      <c r="C1350" s="80" t="s">
        <v>1040</v>
      </c>
    </row>
    <row r="1351" spans="1:3" ht="15">
      <c r="A1351" s="77" t="s">
        <v>310</v>
      </c>
      <c r="B1351" s="76" t="s">
        <v>3409</v>
      </c>
      <c r="C1351" s="80" t="s">
        <v>1040</v>
      </c>
    </row>
    <row r="1352" spans="1:3" ht="15">
      <c r="A1352" s="77" t="s">
        <v>310</v>
      </c>
      <c r="B1352" s="76" t="s">
        <v>3410</v>
      </c>
      <c r="C1352" s="80" t="s">
        <v>1040</v>
      </c>
    </row>
    <row r="1353" spans="1:3" ht="15">
      <c r="A1353" s="77" t="s">
        <v>310</v>
      </c>
      <c r="B1353" s="76" t="s">
        <v>3411</v>
      </c>
      <c r="C1353" s="80" t="s">
        <v>1040</v>
      </c>
    </row>
    <row r="1354" spans="1:3" ht="15">
      <c r="A1354" s="77" t="s">
        <v>310</v>
      </c>
      <c r="B1354" s="76" t="s">
        <v>3412</v>
      </c>
      <c r="C1354" s="80" t="s">
        <v>1040</v>
      </c>
    </row>
    <row r="1355" spans="1:3" ht="15">
      <c r="A1355" s="77" t="s">
        <v>310</v>
      </c>
      <c r="B1355" s="76" t="s">
        <v>2624</v>
      </c>
      <c r="C1355" s="80" t="s">
        <v>1040</v>
      </c>
    </row>
    <row r="1356" spans="1:3" ht="15">
      <c r="A1356" s="77" t="s">
        <v>310</v>
      </c>
      <c r="B1356" s="76">
        <v>36</v>
      </c>
      <c r="C1356" s="80" t="s">
        <v>1040</v>
      </c>
    </row>
    <row r="1357" spans="1:3" ht="15">
      <c r="A1357" s="77" t="s">
        <v>310</v>
      </c>
      <c r="B1357" s="76" t="s">
        <v>3413</v>
      </c>
      <c r="C1357" s="80" t="s">
        <v>1040</v>
      </c>
    </row>
    <row r="1358" spans="1:3" ht="15">
      <c r="A1358" s="77" t="s">
        <v>310</v>
      </c>
      <c r="B1358" s="76" t="s">
        <v>2438</v>
      </c>
      <c r="C1358" s="80" t="s">
        <v>1040</v>
      </c>
    </row>
    <row r="1359" spans="1:3" ht="15">
      <c r="A1359" s="77" t="s">
        <v>310</v>
      </c>
      <c r="B1359" s="76" t="s">
        <v>2439</v>
      </c>
      <c r="C1359" s="80" t="s">
        <v>1040</v>
      </c>
    </row>
    <row r="1360" spans="1:3" ht="15">
      <c r="A1360" s="77" t="s">
        <v>310</v>
      </c>
      <c r="B1360" s="76" t="s">
        <v>2500</v>
      </c>
      <c r="C1360" s="80" t="s">
        <v>1040</v>
      </c>
    </row>
    <row r="1361" spans="1:3" ht="15">
      <c r="A1361" s="77" t="s">
        <v>310</v>
      </c>
      <c r="B1361" s="76" t="s">
        <v>3414</v>
      </c>
      <c r="C1361" s="80" t="s">
        <v>1040</v>
      </c>
    </row>
    <row r="1362" spans="1:3" ht="15">
      <c r="A1362" s="77" t="s">
        <v>310</v>
      </c>
      <c r="B1362" s="76" t="s">
        <v>3415</v>
      </c>
      <c r="C1362" s="80" t="s">
        <v>1040</v>
      </c>
    </row>
    <row r="1363" spans="1:3" ht="15">
      <c r="A1363" s="77" t="s">
        <v>310</v>
      </c>
      <c r="B1363" s="76" t="s">
        <v>3416</v>
      </c>
      <c r="C1363" s="80" t="s">
        <v>1040</v>
      </c>
    </row>
    <row r="1364" spans="1:3" ht="15">
      <c r="A1364" s="77" t="s">
        <v>310</v>
      </c>
      <c r="B1364" s="76" t="s">
        <v>3417</v>
      </c>
      <c r="C1364" s="80" t="s">
        <v>1040</v>
      </c>
    </row>
    <row r="1365" spans="1:3" ht="15">
      <c r="A1365" s="77" t="s">
        <v>310</v>
      </c>
      <c r="B1365" s="76" t="s">
        <v>3418</v>
      </c>
      <c r="C1365" s="80" t="s">
        <v>1040</v>
      </c>
    </row>
    <row r="1366" spans="1:3" ht="15">
      <c r="A1366" s="77" t="s">
        <v>310</v>
      </c>
      <c r="B1366" s="76" t="s">
        <v>3419</v>
      </c>
      <c r="C1366" s="80" t="s">
        <v>1040</v>
      </c>
    </row>
    <row r="1367" spans="1:3" ht="15">
      <c r="A1367" s="77" t="s">
        <v>310</v>
      </c>
      <c r="B1367" s="76" t="s">
        <v>3420</v>
      </c>
      <c r="C1367" s="80" t="s">
        <v>1040</v>
      </c>
    </row>
    <row r="1368" spans="1:3" ht="15">
      <c r="A1368" s="77" t="s">
        <v>310</v>
      </c>
      <c r="B1368" s="76" t="s">
        <v>3421</v>
      </c>
      <c r="C1368" s="80" t="s">
        <v>1040</v>
      </c>
    </row>
    <row r="1369" spans="1:3" ht="15">
      <c r="A1369" s="77" t="s">
        <v>310</v>
      </c>
      <c r="B1369" s="76" t="s">
        <v>3422</v>
      </c>
      <c r="C1369" s="80" t="s">
        <v>1040</v>
      </c>
    </row>
    <row r="1370" spans="1:3" ht="15">
      <c r="A1370" s="77" t="s">
        <v>310</v>
      </c>
      <c r="B1370" s="76" t="s">
        <v>2470</v>
      </c>
      <c r="C1370" s="80" t="s">
        <v>1040</v>
      </c>
    </row>
    <row r="1371" spans="1:3" ht="15">
      <c r="A1371" s="77" t="s">
        <v>310</v>
      </c>
      <c r="B1371" s="76" t="s">
        <v>3423</v>
      </c>
      <c r="C1371" s="80" t="s">
        <v>1040</v>
      </c>
    </row>
    <row r="1372" spans="1:3" ht="15">
      <c r="A1372" s="77" t="s">
        <v>310</v>
      </c>
      <c r="B1372" s="76" t="s">
        <v>2672</v>
      </c>
      <c r="C1372" s="80" t="s">
        <v>1040</v>
      </c>
    </row>
    <row r="1373" spans="1:3" ht="15">
      <c r="A1373" s="77" t="s">
        <v>310</v>
      </c>
      <c r="B1373" s="76" t="s">
        <v>3424</v>
      </c>
      <c r="C1373" s="80" t="s">
        <v>1040</v>
      </c>
    </row>
    <row r="1374" spans="1:3" ht="15">
      <c r="A1374" s="77" t="s">
        <v>310</v>
      </c>
      <c r="B1374" s="76" t="s">
        <v>2642</v>
      </c>
      <c r="C1374" s="80" t="s">
        <v>1040</v>
      </c>
    </row>
    <row r="1375" spans="1:3" ht="15">
      <c r="A1375" s="77" t="s">
        <v>310</v>
      </c>
      <c r="B1375" s="76" t="s">
        <v>2480</v>
      </c>
      <c r="C1375" s="80" t="s">
        <v>1040</v>
      </c>
    </row>
    <row r="1376" spans="1:3" ht="15">
      <c r="A1376" s="77" t="s">
        <v>310</v>
      </c>
      <c r="B1376" s="76" t="s">
        <v>2759</v>
      </c>
      <c r="C1376" s="80" t="s">
        <v>1040</v>
      </c>
    </row>
    <row r="1377" spans="1:3" ht="15">
      <c r="A1377" s="77" t="s">
        <v>243</v>
      </c>
      <c r="B1377" s="76" t="s">
        <v>3425</v>
      </c>
      <c r="C1377" s="80" t="s">
        <v>962</v>
      </c>
    </row>
    <row r="1378" spans="1:3" ht="15">
      <c r="A1378" s="77" t="s">
        <v>243</v>
      </c>
      <c r="B1378" s="76" t="s">
        <v>2737</v>
      </c>
      <c r="C1378" s="80" t="s">
        <v>962</v>
      </c>
    </row>
    <row r="1379" spans="1:3" ht="15">
      <c r="A1379" s="77" t="s">
        <v>243</v>
      </c>
      <c r="B1379" s="76" t="s">
        <v>2785</v>
      </c>
      <c r="C1379" s="80" t="s">
        <v>962</v>
      </c>
    </row>
    <row r="1380" spans="1:3" ht="15">
      <c r="A1380" s="77" t="s">
        <v>243</v>
      </c>
      <c r="B1380" s="76" t="s">
        <v>2705</v>
      </c>
      <c r="C1380" s="80" t="s">
        <v>962</v>
      </c>
    </row>
    <row r="1381" spans="1:3" ht="15">
      <c r="A1381" s="77" t="s">
        <v>243</v>
      </c>
      <c r="B1381" s="76" t="s">
        <v>3426</v>
      </c>
      <c r="C1381" s="80" t="s">
        <v>962</v>
      </c>
    </row>
    <row r="1382" spans="1:3" ht="15">
      <c r="A1382" s="77" t="s">
        <v>243</v>
      </c>
      <c r="B1382" s="76" t="s">
        <v>3427</v>
      </c>
      <c r="C1382" s="80" t="s">
        <v>962</v>
      </c>
    </row>
    <row r="1383" spans="1:3" ht="15">
      <c r="A1383" s="77" t="s">
        <v>243</v>
      </c>
      <c r="B1383" s="76" t="s">
        <v>2491</v>
      </c>
      <c r="C1383" s="80" t="s">
        <v>962</v>
      </c>
    </row>
    <row r="1384" spans="1:3" ht="15">
      <c r="A1384" s="77" t="s">
        <v>243</v>
      </c>
      <c r="B1384" s="76" t="s">
        <v>3428</v>
      </c>
      <c r="C1384" s="80" t="s">
        <v>962</v>
      </c>
    </row>
    <row r="1385" spans="1:3" ht="15">
      <c r="A1385" s="77" t="s">
        <v>243</v>
      </c>
      <c r="B1385" s="76" t="s">
        <v>3429</v>
      </c>
      <c r="C1385" s="80" t="s">
        <v>962</v>
      </c>
    </row>
    <row r="1386" spans="1:3" ht="15">
      <c r="A1386" s="77" t="s">
        <v>243</v>
      </c>
      <c r="B1386" s="76" t="s">
        <v>2557</v>
      </c>
      <c r="C1386" s="80" t="s">
        <v>962</v>
      </c>
    </row>
    <row r="1387" spans="1:3" ht="15">
      <c r="A1387" s="77" t="s">
        <v>243</v>
      </c>
      <c r="B1387" s="76" t="s">
        <v>2438</v>
      </c>
      <c r="C1387" s="80" t="s">
        <v>962</v>
      </c>
    </row>
    <row r="1388" spans="1:3" ht="15">
      <c r="A1388" s="77" t="s">
        <v>243</v>
      </c>
      <c r="B1388" s="76" t="s">
        <v>2439</v>
      </c>
      <c r="C1388" s="80" t="s">
        <v>962</v>
      </c>
    </row>
    <row r="1389" spans="1:3" ht="15">
      <c r="A1389" s="77" t="s">
        <v>243</v>
      </c>
      <c r="B1389" s="76" t="s">
        <v>3430</v>
      </c>
      <c r="C1389" s="80" t="s">
        <v>962</v>
      </c>
    </row>
    <row r="1390" spans="1:3" ht="15">
      <c r="A1390" s="77" t="s">
        <v>243</v>
      </c>
      <c r="B1390" s="76" t="s">
        <v>3431</v>
      </c>
      <c r="C1390" s="80" t="s">
        <v>962</v>
      </c>
    </row>
    <row r="1391" spans="1:3" ht="15">
      <c r="A1391" s="77" t="s">
        <v>243</v>
      </c>
      <c r="B1391" s="76" t="s">
        <v>3432</v>
      </c>
      <c r="C1391" s="80" t="s">
        <v>962</v>
      </c>
    </row>
    <row r="1392" spans="1:3" ht="15">
      <c r="A1392" s="77" t="s">
        <v>243</v>
      </c>
      <c r="B1392" s="76" t="s">
        <v>3433</v>
      </c>
      <c r="C1392" s="80" t="s">
        <v>962</v>
      </c>
    </row>
    <row r="1393" spans="1:3" ht="15">
      <c r="A1393" s="77" t="s">
        <v>243</v>
      </c>
      <c r="B1393" s="76" t="s">
        <v>358</v>
      </c>
      <c r="C1393" s="80" t="s">
        <v>962</v>
      </c>
    </row>
    <row r="1394" spans="1:3" ht="15">
      <c r="A1394" s="77" t="s">
        <v>237</v>
      </c>
      <c r="B1394" s="76" t="s">
        <v>3434</v>
      </c>
      <c r="C1394" s="80" t="s">
        <v>956</v>
      </c>
    </row>
    <row r="1395" spans="1:3" ht="15">
      <c r="A1395" s="77" t="s">
        <v>237</v>
      </c>
      <c r="B1395" s="76" t="s">
        <v>3435</v>
      </c>
      <c r="C1395" s="80" t="s">
        <v>956</v>
      </c>
    </row>
    <row r="1396" spans="1:3" ht="15">
      <c r="A1396" s="77" t="s">
        <v>237</v>
      </c>
      <c r="B1396" s="76" t="s">
        <v>2438</v>
      </c>
      <c r="C1396" s="80" t="s">
        <v>956</v>
      </c>
    </row>
    <row r="1397" spans="1:3" ht="15">
      <c r="A1397" s="77" t="s">
        <v>237</v>
      </c>
      <c r="B1397" s="76" t="s">
        <v>2495</v>
      </c>
      <c r="C1397" s="80" t="s">
        <v>956</v>
      </c>
    </row>
    <row r="1398" spans="1:3" ht="15">
      <c r="A1398" s="77" t="s">
        <v>260</v>
      </c>
      <c r="B1398" s="76" t="s">
        <v>2438</v>
      </c>
      <c r="C1398" s="80" t="s">
        <v>981</v>
      </c>
    </row>
    <row r="1399" spans="1:3" ht="15">
      <c r="A1399" s="77" t="s">
        <v>260</v>
      </c>
      <c r="B1399" s="76" t="s">
        <v>2453</v>
      </c>
      <c r="C1399" s="80" t="s">
        <v>981</v>
      </c>
    </row>
    <row r="1400" spans="1:3" ht="15">
      <c r="A1400" s="77" t="s">
        <v>260</v>
      </c>
      <c r="B1400" s="76" t="s">
        <v>3436</v>
      </c>
      <c r="C1400" s="80" t="s">
        <v>981</v>
      </c>
    </row>
    <row r="1401" spans="1:3" ht="15">
      <c r="A1401" s="77" t="s">
        <v>260</v>
      </c>
      <c r="B1401" s="76" t="s">
        <v>2486</v>
      </c>
      <c r="C1401" s="80" t="s">
        <v>981</v>
      </c>
    </row>
    <row r="1402" spans="1:3" ht="15">
      <c r="A1402" s="77" t="s">
        <v>260</v>
      </c>
      <c r="B1402" s="76" t="s">
        <v>2726</v>
      </c>
      <c r="C1402" s="80" t="s">
        <v>981</v>
      </c>
    </row>
    <row r="1403" spans="1:3" ht="15">
      <c r="A1403" s="77" t="s">
        <v>260</v>
      </c>
      <c r="B1403" s="76" t="s">
        <v>2457</v>
      </c>
      <c r="C1403" s="80" t="s">
        <v>981</v>
      </c>
    </row>
    <row r="1404" spans="1:3" ht="15">
      <c r="A1404" s="77" t="s">
        <v>260</v>
      </c>
      <c r="B1404" s="76" t="s">
        <v>2711</v>
      </c>
      <c r="C1404" s="80" t="s">
        <v>981</v>
      </c>
    </row>
    <row r="1405" spans="1:3" ht="15">
      <c r="A1405" s="77" t="s">
        <v>260</v>
      </c>
      <c r="B1405" s="76" t="s">
        <v>2605</v>
      </c>
      <c r="C1405" s="80" t="s">
        <v>981</v>
      </c>
    </row>
    <row r="1406" spans="1:3" ht="15">
      <c r="A1406" s="77" t="s">
        <v>260</v>
      </c>
      <c r="B1406" s="76" t="s">
        <v>2440</v>
      </c>
      <c r="C1406" s="80" t="s">
        <v>981</v>
      </c>
    </row>
    <row r="1407" spans="1:3" ht="15">
      <c r="A1407" s="77" t="s">
        <v>260</v>
      </c>
      <c r="B1407" s="76" t="s">
        <v>3437</v>
      </c>
      <c r="C1407" s="80" t="s">
        <v>981</v>
      </c>
    </row>
    <row r="1408" spans="1:3" ht="15">
      <c r="A1408" s="77" t="s">
        <v>260</v>
      </c>
      <c r="B1408" s="76" t="s">
        <v>2442</v>
      </c>
      <c r="C1408" s="80" t="s">
        <v>981</v>
      </c>
    </row>
    <row r="1409" spans="1:3" ht="15">
      <c r="A1409" s="77" t="s">
        <v>260</v>
      </c>
      <c r="B1409" s="76" t="s">
        <v>2779</v>
      </c>
      <c r="C1409" s="80" t="s">
        <v>981</v>
      </c>
    </row>
    <row r="1410" spans="1:3" ht="15">
      <c r="A1410" s="77" t="s">
        <v>260</v>
      </c>
      <c r="B1410" s="76" t="s">
        <v>2465</v>
      </c>
      <c r="C1410" s="80" t="s">
        <v>981</v>
      </c>
    </row>
    <row r="1411" spans="1:3" ht="15">
      <c r="A1411" s="77" t="s">
        <v>227</v>
      </c>
      <c r="B1411" s="76" t="s">
        <v>2549</v>
      </c>
      <c r="C1411" s="80" t="s">
        <v>944</v>
      </c>
    </row>
    <row r="1412" spans="1:3" ht="15">
      <c r="A1412" s="77" t="s">
        <v>227</v>
      </c>
      <c r="B1412" s="76" t="s">
        <v>2530</v>
      </c>
      <c r="C1412" s="80" t="s">
        <v>944</v>
      </c>
    </row>
    <row r="1413" spans="1:3" ht="15">
      <c r="A1413" s="77" t="s">
        <v>227</v>
      </c>
      <c r="B1413" s="76" t="s">
        <v>2721</v>
      </c>
      <c r="C1413" s="80" t="s">
        <v>944</v>
      </c>
    </row>
    <row r="1414" spans="1:3" ht="15">
      <c r="A1414" s="77" t="s">
        <v>227</v>
      </c>
      <c r="B1414" s="76" t="s">
        <v>3438</v>
      </c>
      <c r="C1414" s="80" t="s">
        <v>944</v>
      </c>
    </row>
    <row r="1415" spans="1:3" ht="15">
      <c r="A1415" s="77" t="s">
        <v>227</v>
      </c>
      <c r="B1415" s="76" t="s">
        <v>3439</v>
      </c>
      <c r="C1415" s="80" t="s">
        <v>944</v>
      </c>
    </row>
    <row r="1416" spans="1:3" ht="15">
      <c r="A1416" s="77" t="s">
        <v>227</v>
      </c>
      <c r="B1416" s="76" t="s">
        <v>3440</v>
      </c>
      <c r="C1416" s="80" t="s">
        <v>944</v>
      </c>
    </row>
    <row r="1417" spans="1:3" ht="15">
      <c r="A1417" s="77" t="s">
        <v>227</v>
      </c>
      <c r="B1417" s="76" t="s">
        <v>3441</v>
      </c>
      <c r="C1417" s="80" t="s">
        <v>944</v>
      </c>
    </row>
    <row r="1418" spans="1:3" ht="15">
      <c r="A1418" s="77" t="s">
        <v>227</v>
      </c>
      <c r="B1418" s="76" t="s">
        <v>2444</v>
      </c>
      <c r="C1418" s="80" t="s">
        <v>944</v>
      </c>
    </row>
    <row r="1419" spans="1:3" ht="15">
      <c r="A1419" s="77" t="s">
        <v>227</v>
      </c>
      <c r="B1419" s="76" t="s">
        <v>2486</v>
      </c>
      <c r="C1419" s="80" t="s">
        <v>944</v>
      </c>
    </row>
    <row r="1420" spans="1:3" ht="15">
      <c r="A1420" s="77" t="s">
        <v>227</v>
      </c>
      <c r="B1420" s="76" t="s">
        <v>3442</v>
      </c>
      <c r="C1420" s="80" t="s">
        <v>944</v>
      </c>
    </row>
    <row r="1421" spans="1:3" ht="15">
      <c r="A1421" s="77" t="s">
        <v>227</v>
      </c>
      <c r="B1421" s="76" t="s">
        <v>3443</v>
      </c>
      <c r="C1421" s="80" t="s">
        <v>944</v>
      </c>
    </row>
    <row r="1422" spans="1:3" ht="15">
      <c r="A1422" s="77" t="s">
        <v>227</v>
      </c>
      <c r="B1422" s="76" t="s">
        <v>2474</v>
      </c>
      <c r="C1422" s="80" t="s">
        <v>944</v>
      </c>
    </row>
    <row r="1423" spans="1:3" ht="15">
      <c r="A1423" s="77" t="s">
        <v>227</v>
      </c>
      <c r="B1423" s="76" t="s">
        <v>2438</v>
      </c>
      <c r="C1423" s="80" t="s">
        <v>944</v>
      </c>
    </row>
    <row r="1424" spans="1:3" ht="15">
      <c r="A1424" s="77" t="s">
        <v>227</v>
      </c>
      <c r="B1424" s="76" t="s">
        <v>2439</v>
      </c>
      <c r="C1424" s="80" t="s">
        <v>944</v>
      </c>
    </row>
    <row r="1425" spans="1:3" ht="15">
      <c r="A1425" s="77" t="s">
        <v>227</v>
      </c>
      <c r="B1425" s="76" t="s">
        <v>3444</v>
      </c>
      <c r="C1425" s="80" t="s">
        <v>944</v>
      </c>
    </row>
    <row r="1426" spans="1:3" ht="15">
      <c r="A1426" s="77" t="s">
        <v>227</v>
      </c>
      <c r="B1426" s="76" t="s">
        <v>2645</v>
      </c>
      <c r="C1426" s="80" t="s">
        <v>944</v>
      </c>
    </row>
    <row r="1427" spans="1:3" ht="15">
      <c r="A1427" s="77" t="s">
        <v>227</v>
      </c>
      <c r="B1427" s="76" t="s">
        <v>2559</v>
      </c>
      <c r="C1427" s="80" t="s">
        <v>944</v>
      </c>
    </row>
    <row r="1428" spans="1:3" ht="15">
      <c r="A1428" s="77" t="s">
        <v>227</v>
      </c>
      <c r="B1428" s="76" t="s">
        <v>2454</v>
      </c>
      <c r="C1428" s="80" t="s">
        <v>944</v>
      </c>
    </row>
    <row r="1429" spans="1:3" ht="15">
      <c r="A1429" s="77" t="s">
        <v>227</v>
      </c>
      <c r="B1429" s="76" t="s">
        <v>2751</v>
      </c>
      <c r="C1429" s="80" t="s">
        <v>944</v>
      </c>
    </row>
    <row r="1430" spans="1:3" ht="15">
      <c r="A1430" s="77" t="s">
        <v>227</v>
      </c>
      <c r="B1430" s="76" t="s">
        <v>3445</v>
      </c>
      <c r="C1430" s="80" t="s">
        <v>944</v>
      </c>
    </row>
    <row r="1431" spans="1:3" ht="15">
      <c r="A1431" s="77" t="s">
        <v>227</v>
      </c>
      <c r="B1431" s="76" t="s">
        <v>3446</v>
      </c>
      <c r="C1431" s="80" t="s">
        <v>944</v>
      </c>
    </row>
    <row r="1432" spans="1:3" ht="15">
      <c r="A1432" s="77" t="s">
        <v>227</v>
      </c>
      <c r="B1432" s="76" t="s">
        <v>2479</v>
      </c>
      <c r="C1432" s="80" t="s">
        <v>944</v>
      </c>
    </row>
    <row r="1433" spans="1:3" ht="15">
      <c r="A1433" s="77" t="s">
        <v>227</v>
      </c>
      <c r="B1433" s="76" t="s">
        <v>347</v>
      </c>
      <c r="C1433" s="80" t="s">
        <v>944</v>
      </c>
    </row>
    <row r="1434" spans="1:3" ht="15">
      <c r="A1434" s="77" t="s">
        <v>227</v>
      </c>
      <c r="B1434" s="76" t="s">
        <v>348</v>
      </c>
      <c r="C1434" s="80" t="s">
        <v>944</v>
      </c>
    </row>
    <row r="1435" spans="1:3" ht="15">
      <c r="A1435" s="77" t="s">
        <v>336</v>
      </c>
      <c r="B1435" s="76" t="s">
        <v>3447</v>
      </c>
      <c r="C1435" s="80" t="s">
        <v>1077</v>
      </c>
    </row>
    <row r="1436" spans="1:3" ht="15">
      <c r="A1436" s="77" t="s">
        <v>336</v>
      </c>
      <c r="B1436" s="76" t="s">
        <v>3448</v>
      </c>
      <c r="C1436" s="80" t="s">
        <v>1077</v>
      </c>
    </row>
    <row r="1437" spans="1:3" ht="15">
      <c r="A1437" s="77" t="s">
        <v>336</v>
      </c>
      <c r="B1437" s="76" t="s">
        <v>2602</v>
      </c>
      <c r="C1437" s="80" t="s">
        <v>1077</v>
      </c>
    </row>
    <row r="1438" spans="1:3" ht="15">
      <c r="A1438" s="77" t="s">
        <v>336</v>
      </c>
      <c r="B1438" s="76" t="s">
        <v>2483</v>
      </c>
      <c r="C1438" s="80" t="s">
        <v>1077</v>
      </c>
    </row>
    <row r="1439" spans="1:3" ht="15">
      <c r="A1439" s="77" t="s">
        <v>336</v>
      </c>
      <c r="B1439" s="76">
        <v>40</v>
      </c>
      <c r="C1439" s="80" t="s">
        <v>1077</v>
      </c>
    </row>
    <row r="1440" spans="1:3" ht="15">
      <c r="A1440" s="77" t="s">
        <v>336</v>
      </c>
      <c r="B1440" s="76" t="s">
        <v>3449</v>
      </c>
      <c r="C1440" s="80" t="s">
        <v>1077</v>
      </c>
    </row>
    <row r="1441" spans="1:3" ht="15">
      <c r="A1441" s="77" t="s">
        <v>336</v>
      </c>
      <c r="B1441" s="76" t="s">
        <v>3450</v>
      </c>
      <c r="C1441" s="80" t="s">
        <v>1077</v>
      </c>
    </row>
    <row r="1442" spans="1:3" ht="15">
      <c r="A1442" s="77" t="s">
        <v>336</v>
      </c>
      <c r="B1442" s="76" t="s">
        <v>2498</v>
      </c>
      <c r="C1442" s="80" t="s">
        <v>1077</v>
      </c>
    </row>
    <row r="1443" spans="1:3" ht="15">
      <c r="A1443" s="77" t="s">
        <v>336</v>
      </c>
      <c r="B1443" s="76" t="s">
        <v>2692</v>
      </c>
      <c r="C1443" s="80" t="s">
        <v>1077</v>
      </c>
    </row>
    <row r="1444" spans="1:3" ht="15">
      <c r="A1444" s="77" t="s">
        <v>336</v>
      </c>
      <c r="B1444" s="76" t="s">
        <v>2589</v>
      </c>
      <c r="C1444" s="80" t="s">
        <v>1077</v>
      </c>
    </row>
    <row r="1445" spans="1:3" ht="15">
      <c r="A1445" s="77" t="s">
        <v>336</v>
      </c>
      <c r="B1445" s="76">
        <v>18</v>
      </c>
      <c r="C1445" s="80" t="s">
        <v>1077</v>
      </c>
    </row>
    <row r="1446" spans="1:3" ht="15">
      <c r="A1446" s="77" t="s">
        <v>336</v>
      </c>
      <c r="B1446" s="76" t="s">
        <v>3451</v>
      </c>
      <c r="C1446" s="80" t="s">
        <v>1077</v>
      </c>
    </row>
    <row r="1447" spans="1:3" ht="15">
      <c r="A1447" s="77" t="s">
        <v>336</v>
      </c>
      <c r="B1447" s="76" t="s">
        <v>2438</v>
      </c>
      <c r="C1447" s="80" t="s">
        <v>1077</v>
      </c>
    </row>
    <row r="1448" spans="1:3" ht="15">
      <c r="A1448" s="77" t="s">
        <v>336</v>
      </c>
      <c r="B1448" s="76" t="s">
        <v>2439</v>
      </c>
      <c r="C1448" s="80" t="s">
        <v>1077</v>
      </c>
    </row>
    <row r="1449" spans="1:3" ht="15">
      <c r="A1449" s="77" t="s">
        <v>336</v>
      </c>
      <c r="B1449" s="76" t="s">
        <v>3452</v>
      </c>
      <c r="C1449" s="80" t="s">
        <v>1077</v>
      </c>
    </row>
    <row r="1450" spans="1:3" ht="15">
      <c r="A1450" s="77" t="s">
        <v>333</v>
      </c>
      <c r="B1450" s="76" t="s">
        <v>3453</v>
      </c>
      <c r="C1450" s="80" t="s">
        <v>1073</v>
      </c>
    </row>
    <row r="1451" spans="1:3" ht="15">
      <c r="A1451" s="77" t="s">
        <v>333</v>
      </c>
      <c r="B1451" s="76" t="s">
        <v>3454</v>
      </c>
      <c r="C1451" s="80" t="s">
        <v>1073</v>
      </c>
    </row>
    <row r="1452" spans="1:3" ht="15">
      <c r="A1452" s="77" t="s">
        <v>333</v>
      </c>
      <c r="B1452" s="76" t="s">
        <v>3455</v>
      </c>
      <c r="C1452" s="80" t="s">
        <v>1073</v>
      </c>
    </row>
    <row r="1453" spans="1:3" ht="15">
      <c r="A1453" s="77" t="s">
        <v>333</v>
      </c>
      <c r="B1453" s="76" t="s">
        <v>2558</v>
      </c>
      <c r="C1453" s="80" t="s">
        <v>1073</v>
      </c>
    </row>
    <row r="1454" spans="1:3" ht="15">
      <c r="A1454" s="77" t="s">
        <v>333</v>
      </c>
      <c r="B1454" s="76">
        <v>0</v>
      </c>
      <c r="C1454" s="80" t="s">
        <v>1073</v>
      </c>
    </row>
    <row r="1455" spans="1:3" ht="15">
      <c r="A1455" s="77" t="s">
        <v>333</v>
      </c>
      <c r="B1455" s="76">
        <v>21</v>
      </c>
      <c r="C1455" s="80" t="s">
        <v>1073</v>
      </c>
    </row>
    <row r="1456" spans="1:3" ht="15">
      <c r="A1456" s="77" t="s">
        <v>333</v>
      </c>
      <c r="B1456" s="76" t="s">
        <v>2592</v>
      </c>
      <c r="C1456" s="80" t="s">
        <v>1073</v>
      </c>
    </row>
    <row r="1457" spans="1:3" ht="15">
      <c r="A1457" s="77" t="s">
        <v>333</v>
      </c>
      <c r="B1457" s="76" t="s">
        <v>3456</v>
      </c>
      <c r="C1457" s="80" t="s">
        <v>1073</v>
      </c>
    </row>
    <row r="1458" spans="1:3" ht="15">
      <c r="A1458" s="77" t="s">
        <v>333</v>
      </c>
      <c r="B1458" s="76" t="s">
        <v>2438</v>
      </c>
      <c r="C1458" s="80" t="s">
        <v>1073</v>
      </c>
    </row>
    <row r="1459" spans="1:3" ht="15">
      <c r="A1459" s="77" t="s">
        <v>271</v>
      </c>
      <c r="B1459" s="76" t="s">
        <v>3457</v>
      </c>
      <c r="C1459" s="80" t="s">
        <v>992</v>
      </c>
    </row>
    <row r="1460" spans="1:3" ht="15">
      <c r="A1460" s="77" t="s">
        <v>271</v>
      </c>
      <c r="B1460" s="76" t="s">
        <v>3458</v>
      </c>
      <c r="C1460" s="80" t="s">
        <v>992</v>
      </c>
    </row>
    <row r="1461" spans="1:3" ht="15">
      <c r="A1461" s="77" t="s">
        <v>271</v>
      </c>
      <c r="B1461" s="76" t="s">
        <v>3459</v>
      </c>
      <c r="C1461" s="80" t="s">
        <v>992</v>
      </c>
    </row>
    <row r="1462" spans="1:3" ht="15">
      <c r="A1462" s="77" t="s">
        <v>271</v>
      </c>
      <c r="B1462" s="76" t="s">
        <v>2468</v>
      </c>
      <c r="C1462" s="80" t="s">
        <v>992</v>
      </c>
    </row>
    <row r="1463" spans="1:3" ht="15">
      <c r="A1463" s="77" t="s">
        <v>271</v>
      </c>
      <c r="B1463" s="76" t="s">
        <v>3460</v>
      </c>
      <c r="C1463" s="80" t="s">
        <v>992</v>
      </c>
    </row>
    <row r="1464" spans="1:3" ht="15">
      <c r="A1464" s="77" t="s">
        <v>271</v>
      </c>
      <c r="B1464" s="76" t="s">
        <v>3461</v>
      </c>
      <c r="C1464" s="80" t="s">
        <v>992</v>
      </c>
    </row>
    <row r="1465" spans="1:3" ht="15">
      <c r="A1465" s="77" t="s">
        <v>271</v>
      </c>
      <c r="B1465" s="76" t="s">
        <v>2477</v>
      </c>
      <c r="C1465" s="80" t="s">
        <v>992</v>
      </c>
    </row>
    <row r="1466" spans="1:3" ht="15">
      <c r="A1466" s="77" t="s">
        <v>271</v>
      </c>
      <c r="B1466" s="76" t="s">
        <v>2445</v>
      </c>
      <c r="C1466" s="80" t="s">
        <v>992</v>
      </c>
    </row>
    <row r="1467" spans="1:3" ht="15">
      <c r="A1467" s="77" t="s">
        <v>271</v>
      </c>
      <c r="B1467" s="76" t="s">
        <v>3462</v>
      </c>
      <c r="C1467" s="80" t="s">
        <v>992</v>
      </c>
    </row>
    <row r="1468" spans="1:3" ht="15">
      <c r="A1468" s="77" t="s">
        <v>271</v>
      </c>
      <c r="B1468" s="76" t="s">
        <v>3463</v>
      </c>
      <c r="C1468" s="80" t="s">
        <v>992</v>
      </c>
    </row>
    <row r="1469" spans="1:3" ht="15">
      <c r="A1469" s="77" t="s">
        <v>271</v>
      </c>
      <c r="B1469" s="76" t="s">
        <v>3464</v>
      </c>
      <c r="C1469" s="80" t="s">
        <v>992</v>
      </c>
    </row>
    <row r="1470" spans="1:3" ht="15">
      <c r="A1470" s="77" t="s">
        <v>271</v>
      </c>
      <c r="B1470" s="76" t="s">
        <v>2480</v>
      </c>
      <c r="C1470" s="80" t="s">
        <v>992</v>
      </c>
    </row>
    <row r="1471" spans="1:3" ht="15">
      <c r="A1471" s="77" t="s">
        <v>271</v>
      </c>
      <c r="B1471" s="76" t="s">
        <v>2594</v>
      </c>
      <c r="C1471" s="80" t="s">
        <v>992</v>
      </c>
    </row>
    <row r="1472" spans="1:3" ht="15">
      <c r="A1472" s="77" t="s">
        <v>271</v>
      </c>
      <c r="B1472" s="76" t="s">
        <v>2478</v>
      </c>
      <c r="C1472" s="80" t="s">
        <v>992</v>
      </c>
    </row>
    <row r="1473" spans="1:3" ht="15">
      <c r="A1473" s="77" t="s">
        <v>271</v>
      </c>
      <c r="B1473" s="76" t="s">
        <v>2467</v>
      </c>
      <c r="C1473" s="80" t="s">
        <v>992</v>
      </c>
    </row>
    <row r="1474" spans="1:3" ht="15">
      <c r="A1474" s="77" t="s">
        <v>271</v>
      </c>
      <c r="B1474" s="76">
        <v>18</v>
      </c>
      <c r="C1474" s="80" t="s">
        <v>992</v>
      </c>
    </row>
    <row r="1475" spans="1:3" ht="15">
      <c r="A1475" s="77" t="s">
        <v>271</v>
      </c>
      <c r="B1475" s="76">
        <v>500</v>
      </c>
      <c r="C1475" s="80" t="s">
        <v>992</v>
      </c>
    </row>
    <row r="1476" spans="1:3" ht="15">
      <c r="A1476" s="77" t="s">
        <v>271</v>
      </c>
      <c r="B1476" s="76" t="s">
        <v>2634</v>
      </c>
      <c r="C1476" s="80" t="s">
        <v>992</v>
      </c>
    </row>
    <row r="1477" spans="1:3" ht="15">
      <c r="A1477" s="77" t="s">
        <v>271</v>
      </c>
      <c r="B1477" s="76" t="s">
        <v>2438</v>
      </c>
      <c r="C1477" s="80" t="s">
        <v>992</v>
      </c>
    </row>
    <row r="1478" spans="1:3" ht="15">
      <c r="A1478" s="77" t="s">
        <v>271</v>
      </c>
      <c r="B1478" s="76" t="s">
        <v>2439</v>
      </c>
      <c r="C1478" s="80" t="s">
        <v>992</v>
      </c>
    </row>
    <row r="1479" spans="1:3" ht="15">
      <c r="A1479" s="77" t="s">
        <v>271</v>
      </c>
      <c r="B1479" s="76" t="s">
        <v>2441</v>
      </c>
      <c r="C1479" s="80" t="s">
        <v>992</v>
      </c>
    </row>
    <row r="1480" spans="1:3" ht="15">
      <c r="A1480" s="77" t="s">
        <v>265</v>
      </c>
      <c r="B1480" s="76" t="s">
        <v>3465</v>
      </c>
      <c r="C1480" s="80" t="s">
        <v>986</v>
      </c>
    </row>
    <row r="1481" spans="1:3" ht="15">
      <c r="A1481" s="77" t="s">
        <v>265</v>
      </c>
      <c r="B1481" s="76" t="s">
        <v>3466</v>
      </c>
      <c r="C1481" s="80" t="s">
        <v>986</v>
      </c>
    </row>
    <row r="1482" spans="1:3" ht="15">
      <c r="A1482" s="77" t="s">
        <v>265</v>
      </c>
      <c r="B1482" s="76" t="s">
        <v>2438</v>
      </c>
      <c r="C1482" s="80" t="s">
        <v>986</v>
      </c>
    </row>
    <row r="1483" spans="1:3" ht="15">
      <c r="A1483" s="77" t="s">
        <v>265</v>
      </c>
      <c r="B1483" s="76" t="s">
        <v>3467</v>
      </c>
      <c r="C1483" s="80" t="s">
        <v>986</v>
      </c>
    </row>
    <row r="1484" spans="1:3" ht="15">
      <c r="A1484" s="77" t="s">
        <v>265</v>
      </c>
      <c r="B1484" s="76" t="s">
        <v>376</v>
      </c>
      <c r="C1484" s="80" t="s">
        <v>986</v>
      </c>
    </row>
    <row r="1485" spans="1:3" ht="15">
      <c r="A1485" s="77" t="s">
        <v>265</v>
      </c>
      <c r="B1485" s="76" t="s">
        <v>3468</v>
      </c>
      <c r="C1485" s="80" t="s">
        <v>986</v>
      </c>
    </row>
    <row r="1486" spans="1:3" ht="15">
      <c r="A1486" s="77" t="s">
        <v>323</v>
      </c>
      <c r="B1486" s="76" t="s">
        <v>3469</v>
      </c>
      <c r="C1486" s="80" t="s">
        <v>1061</v>
      </c>
    </row>
    <row r="1487" spans="1:3" ht="15">
      <c r="A1487" s="77" t="s">
        <v>323</v>
      </c>
      <c r="B1487" s="76" t="s">
        <v>3470</v>
      </c>
      <c r="C1487" s="80" t="s">
        <v>1061</v>
      </c>
    </row>
    <row r="1488" spans="1:3" ht="15">
      <c r="A1488" s="77" t="s">
        <v>323</v>
      </c>
      <c r="B1488" s="76" t="s">
        <v>3471</v>
      </c>
      <c r="C1488" s="80" t="s">
        <v>1061</v>
      </c>
    </row>
    <row r="1489" spans="1:3" ht="15">
      <c r="A1489" s="77" t="s">
        <v>323</v>
      </c>
      <c r="B1489" s="76" t="s">
        <v>2438</v>
      </c>
      <c r="C1489" s="80" t="s">
        <v>1061</v>
      </c>
    </row>
    <row r="1490" spans="1:3" ht="15">
      <c r="A1490" s="77" t="s">
        <v>323</v>
      </c>
      <c r="B1490" s="76" t="s">
        <v>2439</v>
      </c>
      <c r="C1490" s="80" t="s">
        <v>1061</v>
      </c>
    </row>
    <row r="1491" spans="1:3" ht="15">
      <c r="A1491" s="77" t="s">
        <v>323</v>
      </c>
      <c r="B1491" s="76" t="s">
        <v>2487</v>
      </c>
      <c r="C1491" s="80" t="s">
        <v>1061</v>
      </c>
    </row>
    <row r="1492" spans="1:3" ht="15">
      <c r="A1492" s="77" t="s">
        <v>323</v>
      </c>
      <c r="B1492" s="76" t="s">
        <v>2672</v>
      </c>
      <c r="C1492" s="80" t="s">
        <v>1061</v>
      </c>
    </row>
    <row r="1493" spans="1:3" ht="15">
      <c r="A1493" s="77" t="s">
        <v>323</v>
      </c>
      <c r="B1493" s="76" t="s">
        <v>3472</v>
      </c>
      <c r="C1493" s="80" t="s">
        <v>1061</v>
      </c>
    </row>
    <row r="1494" spans="1:3" ht="15">
      <c r="A1494" s="77" t="s">
        <v>323</v>
      </c>
      <c r="B1494" s="76" t="s">
        <v>2646</v>
      </c>
      <c r="C1494" s="80" t="s">
        <v>1061</v>
      </c>
    </row>
    <row r="1495" spans="1:3" ht="15">
      <c r="A1495" s="77" t="s">
        <v>323</v>
      </c>
      <c r="B1495" s="76" t="s">
        <v>3473</v>
      </c>
      <c r="C1495" s="80" t="s">
        <v>1061</v>
      </c>
    </row>
    <row r="1496" spans="1:3" ht="15">
      <c r="A1496" s="77" t="s">
        <v>323</v>
      </c>
      <c r="B1496" s="76" t="s">
        <v>3474</v>
      </c>
      <c r="C1496" s="80" t="s">
        <v>1061</v>
      </c>
    </row>
    <row r="1497" spans="1:3" ht="15">
      <c r="A1497" s="77" t="s">
        <v>323</v>
      </c>
      <c r="B1497" s="76" t="s">
        <v>2542</v>
      </c>
      <c r="C1497" s="80" t="s">
        <v>1061</v>
      </c>
    </row>
    <row r="1498" spans="1:3" ht="15">
      <c r="A1498" s="77" t="s">
        <v>323</v>
      </c>
      <c r="B1498" s="76" t="s">
        <v>2503</v>
      </c>
      <c r="C1498" s="80" t="s">
        <v>1061</v>
      </c>
    </row>
    <row r="1499" spans="1:3" ht="15">
      <c r="A1499" s="77" t="s">
        <v>229</v>
      </c>
      <c r="B1499" s="76" t="s">
        <v>2599</v>
      </c>
      <c r="C1499" s="80" t="s">
        <v>946</v>
      </c>
    </row>
    <row r="1500" spans="1:3" ht="15">
      <c r="A1500" s="77" t="s">
        <v>229</v>
      </c>
      <c r="B1500" s="76" t="s">
        <v>2585</v>
      </c>
      <c r="C1500" s="80" t="s">
        <v>946</v>
      </c>
    </row>
    <row r="1501" spans="1:3" ht="15">
      <c r="A1501" s="77" t="s">
        <v>229</v>
      </c>
      <c r="B1501" s="76" t="s">
        <v>2703</v>
      </c>
      <c r="C1501" s="80" t="s">
        <v>946</v>
      </c>
    </row>
    <row r="1502" spans="1:3" ht="15">
      <c r="A1502" s="77" t="s">
        <v>229</v>
      </c>
      <c r="B1502" s="76" t="s">
        <v>2445</v>
      </c>
      <c r="C1502" s="80" t="s">
        <v>946</v>
      </c>
    </row>
    <row r="1503" spans="1:3" ht="15">
      <c r="A1503" s="77" t="s">
        <v>229</v>
      </c>
      <c r="B1503" s="76">
        <v>0</v>
      </c>
      <c r="C1503" s="80" t="s">
        <v>946</v>
      </c>
    </row>
    <row r="1504" spans="1:3" ht="15">
      <c r="A1504" s="77" t="s">
        <v>229</v>
      </c>
      <c r="B1504" s="76">
        <v>25</v>
      </c>
      <c r="C1504" s="80" t="s">
        <v>946</v>
      </c>
    </row>
    <row r="1505" spans="1:3" ht="15">
      <c r="A1505" s="77" t="s">
        <v>229</v>
      </c>
      <c r="B1505" s="76" t="s">
        <v>2496</v>
      </c>
      <c r="C1505" s="80" t="s">
        <v>946</v>
      </c>
    </row>
    <row r="1506" spans="1:3" ht="15">
      <c r="A1506" s="77" t="s">
        <v>229</v>
      </c>
      <c r="B1506" s="76" t="s">
        <v>2441</v>
      </c>
      <c r="C1506" s="80" t="s">
        <v>946</v>
      </c>
    </row>
    <row r="1507" spans="1:3" ht="15">
      <c r="A1507" s="77" t="s">
        <v>229</v>
      </c>
      <c r="B1507" s="76" t="s">
        <v>2438</v>
      </c>
      <c r="C1507" s="80" t="s">
        <v>946</v>
      </c>
    </row>
    <row r="1508" spans="1:3" ht="15">
      <c r="A1508" s="77" t="s">
        <v>229</v>
      </c>
      <c r="B1508" s="76" t="s">
        <v>2439</v>
      </c>
      <c r="C1508" s="80" t="s">
        <v>946</v>
      </c>
    </row>
    <row r="1509" spans="1:3" ht="15">
      <c r="A1509" s="77" t="s">
        <v>229</v>
      </c>
      <c r="B1509" s="76" t="s">
        <v>2481</v>
      </c>
      <c r="C1509" s="80" t="s">
        <v>946</v>
      </c>
    </row>
    <row r="1510" spans="1:3" ht="15">
      <c r="A1510" s="77" t="s">
        <v>275</v>
      </c>
      <c r="B1510" s="76" t="s">
        <v>3475</v>
      </c>
      <c r="C1510" s="80" t="s">
        <v>996</v>
      </c>
    </row>
    <row r="1511" spans="1:3" ht="15">
      <c r="A1511" s="77" t="s">
        <v>275</v>
      </c>
      <c r="B1511" s="76" t="s">
        <v>2594</v>
      </c>
      <c r="C1511" s="80" t="s">
        <v>996</v>
      </c>
    </row>
    <row r="1512" spans="1:3" ht="15">
      <c r="A1512" s="77" t="s">
        <v>275</v>
      </c>
      <c r="B1512" s="76" t="s">
        <v>2438</v>
      </c>
      <c r="C1512" s="80" t="s">
        <v>996</v>
      </c>
    </row>
    <row r="1513" spans="1:3" ht="15">
      <c r="A1513" s="77" t="s">
        <v>275</v>
      </c>
      <c r="B1513" s="76" t="s">
        <v>2473</v>
      </c>
      <c r="C1513" s="80" t="s">
        <v>996</v>
      </c>
    </row>
    <row r="1514" spans="1:3" ht="15">
      <c r="A1514" s="77" t="s">
        <v>275</v>
      </c>
      <c r="B1514" s="76" t="s">
        <v>3476</v>
      </c>
      <c r="C1514" s="80" t="s">
        <v>996</v>
      </c>
    </row>
    <row r="1515" spans="1:3" ht="15">
      <c r="A1515" s="77" t="s">
        <v>275</v>
      </c>
      <c r="B1515" s="76" t="s">
        <v>3477</v>
      </c>
      <c r="C1515" s="80" t="s">
        <v>996</v>
      </c>
    </row>
    <row r="1516" spans="1:3" ht="15">
      <c r="A1516" s="77" t="s">
        <v>275</v>
      </c>
      <c r="B1516" s="76" t="s">
        <v>3478</v>
      </c>
      <c r="C1516" s="80" t="s">
        <v>996</v>
      </c>
    </row>
    <row r="1517" spans="1:3" ht="15">
      <c r="A1517" s="77" t="s">
        <v>275</v>
      </c>
      <c r="B1517" s="76" t="s">
        <v>2668</v>
      </c>
      <c r="C1517" s="80" t="s">
        <v>996</v>
      </c>
    </row>
    <row r="1518" spans="1:3" ht="15">
      <c r="A1518" s="77" t="s">
        <v>275</v>
      </c>
      <c r="B1518" s="76" t="s">
        <v>2607</v>
      </c>
      <c r="C1518" s="80" t="s">
        <v>996</v>
      </c>
    </row>
    <row r="1519" spans="1:3" ht="15">
      <c r="A1519" s="77" t="s">
        <v>275</v>
      </c>
      <c r="B1519" s="76" t="s">
        <v>2463</v>
      </c>
      <c r="C1519" s="80" t="s">
        <v>996</v>
      </c>
    </row>
    <row r="1520" spans="1:3" ht="15">
      <c r="A1520" s="77" t="s">
        <v>275</v>
      </c>
      <c r="B1520" s="76" t="s">
        <v>3479</v>
      </c>
      <c r="C1520" s="80" t="s">
        <v>996</v>
      </c>
    </row>
    <row r="1521" spans="1:3" ht="15">
      <c r="A1521" s="77" t="s">
        <v>275</v>
      </c>
      <c r="B1521" s="76" t="s">
        <v>3480</v>
      </c>
      <c r="C1521" s="80" t="s">
        <v>996</v>
      </c>
    </row>
    <row r="1522" spans="1:3" ht="15">
      <c r="A1522" s="77" t="s">
        <v>275</v>
      </c>
      <c r="B1522" s="76" t="s">
        <v>385</v>
      </c>
      <c r="C1522" s="80" t="s">
        <v>996</v>
      </c>
    </row>
    <row r="1523" spans="1:3" ht="15">
      <c r="A1523" s="77" t="s">
        <v>322</v>
      </c>
      <c r="B1523" s="76" t="s">
        <v>2590</v>
      </c>
      <c r="C1523" s="80" t="s">
        <v>1060</v>
      </c>
    </row>
    <row r="1524" spans="1:3" ht="15">
      <c r="A1524" s="77" t="s">
        <v>322</v>
      </c>
      <c r="B1524" s="76" t="s">
        <v>3481</v>
      </c>
      <c r="C1524" s="80" t="s">
        <v>1060</v>
      </c>
    </row>
    <row r="1525" spans="1:3" ht="15">
      <c r="A1525" s="77" t="s">
        <v>322</v>
      </c>
      <c r="B1525" s="76" t="s">
        <v>3482</v>
      </c>
      <c r="C1525" s="80" t="s">
        <v>1060</v>
      </c>
    </row>
    <row r="1526" spans="1:3" ht="15">
      <c r="A1526" s="77" t="s">
        <v>322</v>
      </c>
      <c r="B1526" s="76" t="s">
        <v>2446</v>
      </c>
      <c r="C1526" s="80" t="s">
        <v>1060</v>
      </c>
    </row>
    <row r="1527" spans="1:3" ht="15">
      <c r="A1527" s="77" t="s">
        <v>322</v>
      </c>
      <c r="B1527" s="76" t="s">
        <v>3483</v>
      </c>
      <c r="C1527" s="80" t="s">
        <v>1060</v>
      </c>
    </row>
    <row r="1528" spans="1:3" ht="15">
      <c r="A1528" s="77" t="s">
        <v>322</v>
      </c>
      <c r="B1528" s="76" t="s">
        <v>3484</v>
      </c>
      <c r="C1528" s="80" t="s">
        <v>1060</v>
      </c>
    </row>
    <row r="1529" spans="1:3" ht="15">
      <c r="A1529" s="77" t="s">
        <v>322</v>
      </c>
      <c r="B1529" s="76" t="s">
        <v>2739</v>
      </c>
      <c r="C1529" s="80" t="s">
        <v>1060</v>
      </c>
    </row>
    <row r="1530" spans="1:3" ht="15">
      <c r="A1530" s="77" t="s">
        <v>322</v>
      </c>
      <c r="B1530" s="76" t="s">
        <v>3485</v>
      </c>
      <c r="C1530" s="80" t="s">
        <v>1060</v>
      </c>
    </row>
    <row r="1531" spans="1:3" ht="15">
      <c r="A1531" s="77" t="s">
        <v>322</v>
      </c>
      <c r="B1531" s="76" t="s">
        <v>2442</v>
      </c>
      <c r="C1531" s="80" t="s">
        <v>1060</v>
      </c>
    </row>
    <row r="1532" spans="1:3" ht="15">
      <c r="A1532" s="77" t="s">
        <v>322</v>
      </c>
      <c r="B1532" s="76" t="s">
        <v>3486</v>
      </c>
      <c r="C1532" s="80" t="s">
        <v>1060</v>
      </c>
    </row>
    <row r="1533" spans="1:3" ht="15">
      <c r="A1533" s="77" t="s">
        <v>322</v>
      </c>
      <c r="B1533" s="76" t="s">
        <v>3487</v>
      </c>
      <c r="C1533" s="80" t="s">
        <v>1060</v>
      </c>
    </row>
    <row r="1534" spans="1:3" ht="15">
      <c r="A1534" s="77" t="s">
        <v>322</v>
      </c>
      <c r="B1534" s="76" t="s">
        <v>3488</v>
      </c>
      <c r="C1534" s="80" t="s">
        <v>1060</v>
      </c>
    </row>
    <row r="1535" spans="1:3" ht="15">
      <c r="A1535" s="77" t="s">
        <v>322</v>
      </c>
      <c r="B1535" s="76" t="s">
        <v>3489</v>
      </c>
      <c r="C1535" s="80" t="s">
        <v>1060</v>
      </c>
    </row>
    <row r="1536" spans="1:3" ht="15">
      <c r="A1536" s="77" t="s">
        <v>322</v>
      </c>
      <c r="B1536" s="76" t="s">
        <v>3490</v>
      </c>
      <c r="C1536" s="80" t="s">
        <v>1060</v>
      </c>
    </row>
    <row r="1537" spans="1:3" ht="15">
      <c r="A1537" s="77" t="s">
        <v>322</v>
      </c>
      <c r="B1537" s="76" t="s">
        <v>3491</v>
      </c>
      <c r="C1537" s="80" t="s">
        <v>1060</v>
      </c>
    </row>
    <row r="1538" spans="1:3" ht="15">
      <c r="A1538" s="77" t="s">
        <v>322</v>
      </c>
      <c r="B1538" s="76" t="s">
        <v>3492</v>
      </c>
      <c r="C1538" s="80" t="s">
        <v>1060</v>
      </c>
    </row>
    <row r="1539" spans="1:3" ht="15">
      <c r="A1539" s="77" t="s">
        <v>322</v>
      </c>
      <c r="B1539" s="76" t="s">
        <v>2569</v>
      </c>
      <c r="C1539" s="80" t="s">
        <v>1060</v>
      </c>
    </row>
    <row r="1540" spans="1:3" ht="15">
      <c r="A1540" s="77" t="s">
        <v>322</v>
      </c>
      <c r="B1540" s="76" t="s">
        <v>3493</v>
      </c>
      <c r="C1540" s="80" t="s">
        <v>1060</v>
      </c>
    </row>
    <row r="1541" spans="1:3" ht="15">
      <c r="A1541" s="77" t="s">
        <v>322</v>
      </c>
      <c r="B1541" s="76" t="s">
        <v>3494</v>
      </c>
      <c r="C1541" s="80" t="s">
        <v>1060</v>
      </c>
    </row>
    <row r="1542" spans="1:3" ht="15">
      <c r="A1542" s="77" t="s">
        <v>322</v>
      </c>
      <c r="B1542" s="76" t="s">
        <v>3495</v>
      </c>
      <c r="C1542" s="80" t="s">
        <v>1060</v>
      </c>
    </row>
    <row r="1543" spans="1:3" ht="15">
      <c r="A1543" s="77" t="s">
        <v>322</v>
      </c>
      <c r="B1543" s="76" t="s">
        <v>2537</v>
      </c>
      <c r="C1543" s="80" t="s">
        <v>1060</v>
      </c>
    </row>
    <row r="1544" spans="1:3" ht="15">
      <c r="A1544" s="77" t="s">
        <v>322</v>
      </c>
      <c r="B1544" s="76" t="s">
        <v>2584</v>
      </c>
      <c r="C1544" s="80" t="s">
        <v>1060</v>
      </c>
    </row>
    <row r="1545" spans="1:3" ht="15">
      <c r="A1545" s="77" t="s">
        <v>322</v>
      </c>
      <c r="B1545" s="76" t="s">
        <v>3496</v>
      </c>
      <c r="C1545" s="80" t="s">
        <v>1060</v>
      </c>
    </row>
    <row r="1546" spans="1:3" ht="15">
      <c r="A1546" s="77" t="s">
        <v>322</v>
      </c>
      <c r="B1546" s="76" t="s">
        <v>3497</v>
      </c>
      <c r="C1546" s="80" t="s">
        <v>1060</v>
      </c>
    </row>
    <row r="1547" spans="1:3" ht="15">
      <c r="A1547" s="77" t="s">
        <v>322</v>
      </c>
      <c r="B1547" s="76" t="s">
        <v>2473</v>
      </c>
      <c r="C1547" s="80" t="s">
        <v>1060</v>
      </c>
    </row>
    <row r="1548" spans="1:3" ht="15">
      <c r="A1548" s="77" t="s">
        <v>322</v>
      </c>
      <c r="B1548" s="76" t="s">
        <v>3498</v>
      </c>
      <c r="C1548" s="80" t="s">
        <v>1060</v>
      </c>
    </row>
    <row r="1549" spans="1:3" ht="15">
      <c r="A1549" s="77" t="s">
        <v>322</v>
      </c>
      <c r="B1549" s="76" t="s">
        <v>3499</v>
      </c>
      <c r="C1549" s="80" t="s">
        <v>1060</v>
      </c>
    </row>
    <row r="1550" spans="1:3" ht="15">
      <c r="A1550" s="77" t="s">
        <v>259</v>
      </c>
      <c r="B1550" s="76" t="s">
        <v>2438</v>
      </c>
      <c r="C1550" s="80" t="s">
        <v>980</v>
      </c>
    </row>
    <row r="1551" spans="1:3" ht="15">
      <c r="A1551" s="77" t="s">
        <v>259</v>
      </c>
      <c r="B1551" s="76" t="s">
        <v>2704</v>
      </c>
      <c r="C1551" s="80" t="s">
        <v>980</v>
      </c>
    </row>
    <row r="1552" spans="1:3" ht="15">
      <c r="A1552" s="77" t="s">
        <v>259</v>
      </c>
      <c r="B1552" s="76" t="s">
        <v>2611</v>
      </c>
      <c r="C1552" s="80" t="s">
        <v>980</v>
      </c>
    </row>
    <row r="1553" spans="1:3" ht="15">
      <c r="A1553" s="77" t="s">
        <v>259</v>
      </c>
      <c r="B1553" s="76" t="s">
        <v>2446</v>
      </c>
      <c r="C1553" s="80" t="s">
        <v>980</v>
      </c>
    </row>
    <row r="1554" spans="1:3" ht="15">
      <c r="A1554" s="77" t="s">
        <v>259</v>
      </c>
      <c r="B1554" s="76" t="s">
        <v>2457</v>
      </c>
      <c r="C1554" s="80" t="s">
        <v>980</v>
      </c>
    </row>
    <row r="1555" spans="1:3" ht="15">
      <c r="A1555" s="77" t="s">
        <v>259</v>
      </c>
      <c r="B1555" s="76" t="s">
        <v>2448</v>
      </c>
      <c r="C1555" s="80" t="s">
        <v>980</v>
      </c>
    </row>
    <row r="1556" spans="1:3" ht="15">
      <c r="A1556" s="77" t="s">
        <v>259</v>
      </c>
      <c r="B1556" s="76" t="s">
        <v>2529</v>
      </c>
      <c r="C1556" s="80" t="s">
        <v>980</v>
      </c>
    </row>
    <row r="1557" spans="1:3" ht="15">
      <c r="A1557" s="77" t="s">
        <v>259</v>
      </c>
      <c r="B1557" s="76" t="s">
        <v>2600</v>
      </c>
      <c r="C1557" s="80" t="s">
        <v>980</v>
      </c>
    </row>
    <row r="1558" spans="1:3" ht="15">
      <c r="A1558" s="77" t="s">
        <v>259</v>
      </c>
      <c r="B1558" s="76" t="s">
        <v>2440</v>
      </c>
      <c r="C1558" s="80" t="s">
        <v>980</v>
      </c>
    </row>
    <row r="1559" spans="1:3" ht="15">
      <c r="A1559" s="77" t="s">
        <v>259</v>
      </c>
      <c r="B1559" s="76" t="s">
        <v>2538</v>
      </c>
      <c r="C1559" s="80" t="s">
        <v>980</v>
      </c>
    </row>
    <row r="1560" spans="1:3" ht="15">
      <c r="A1560" s="77" t="s">
        <v>259</v>
      </c>
      <c r="B1560" s="76" t="s">
        <v>2609</v>
      </c>
      <c r="C1560" s="80" t="s">
        <v>980</v>
      </c>
    </row>
    <row r="1561" spans="1:3" ht="15">
      <c r="A1561" s="77" t="s">
        <v>259</v>
      </c>
      <c r="B1561" s="76" t="s">
        <v>2524</v>
      </c>
      <c r="C1561" s="80" t="s">
        <v>980</v>
      </c>
    </row>
    <row r="1562" spans="1:3" ht="15">
      <c r="A1562" s="77" t="s">
        <v>259</v>
      </c>
      <c r="B1562" s="76" t="s">
        <v>2462</v>
      </c>
      <c r="C1562" s="80" t="s">
        <v>980</v>
      </c>
    </row>
    <row r="1563" spans="1:3" ht="15">
      <c r="A1563" s="77" t="s">
        <v>259</v>
      </c>
      <c r="B1563" s="76" t="s">
        <v>2449</v>
      </c>
      <c r="C1563" s="80" t="s">
        <v>980</v>
      </c>
    </row>
    <row r="1564" spans="1:3" ht="15">
      <c r="A1564" s="77" t="s">
        <v>281</v>
      </c>
      <c r="B1564" s="76" t="s">
        <v>2680</v>
      </c>
      <c r="C1564" s="80" t="s">
        <v>1004</v>
      </c>
    </row>
    <row r="1565" spans="1:3" ht="15">
      <c r="A1565" s="77" t="s">
        <v>281</v>
      </c>
      <c r="B1565" s="76" t="s">
        <v>2497</v>
      </c>
      <c r="C1565" s="80" t="s">
        <v>1004</v>
      </c>
    </row>
    <row r="1566" spans="1:3" ht="15">
      <c r="A1566" s="77" t="s">
        <v>281</v>
      </c>
      <c r="B1566" s="76" t="s">
        <v>2734</v>
      </c>
      <c r="C1566" s="80" t="s">
        <v>1004</v>
      </c>
    </row>
    <row r="1567" spans="1:3" ht="15">
      <c r="A1567" s="77" t="s">
        <v>281</v>
      </c>
      <c r="B1567" s="76" t="s">
        <v>2446</v>
      </c>
      <c r="C1567" s="80" t="s">
        <v>1004</v>
      </c>
    </row>
    <row r="1568" spans="1:3" ht="15">
      <c r="A1568" s="77" t="s">
        <v>281</v>
      </c>
      <c r="B1568" s="76" t="s">
        <v>2687</v>
      </c>
      <c r="C1568" s="80" t="s">
        <v>1004</v>
      </c>
    </row>
    <row r="1569" spans="1:3" ht="15">
      <c r="A1569" s="77" t="s">
        <v>281</v>
      </c>
      <c r="B1569" s="76" t="s">
        <v>2560</v>
      </c>
      <c r="C1569" s="80" t="s">
        <v>1004</v>
      </c>
    </row>
    <row r="1570" spans="1:3" ht="15">
      <c r="A1570" s="77" t="s">
        <v>281</v>
      </c>
      <c r="B1570" s="76" t="s">
        <v>2471</v>
      </c>
      <c r="C1570" s="80" t="s">
        <v>1004</v>
      </c>
    </row>
    <row r="1571" spans="1:3" ht="15">
      <c r="A1571" s="77" t="s">
        <v>281</v>
      </c>
      <c r="B1571" s="76">
        <v>0</v>
      </c>
      <c r="C1571" s="80" t="s">
        <v>1004</v>
      </c>
    </row>
    <row r="1572" spans="1:3" ht="15">
      <c r="A1572" s="77" t="s">
        <v>281</v>
      </c>
      <c r="B1572" s="76">
        <v>10</v>
      </c>
      <c r="C1572" s="80" t="s">
        <v>1004</v>
      </c>
    </row>
    <row r="1573" spans="1:3" ht="15">
      <c r="A1573" s="77" t="s">
        <v>281</v>
      </c>
      <c r="B1573" s="76" t="s">
        <v>2592</v>
      </c>
      <c r="C1573" s="80" t="s">
        <v>1004</v>
      </c>
    </row>
    <row r="1574" spans="1:3" ht="15">
      <c r="A1574" s="77" t="s">
        <v>281</v>
      </c>
      <c r="B1574" s="76" t="s">
        <v>2438</v>
      </c>
      <c r="C1574" s="80" t="s">
        <v>1004</v>
      </c>
    </row>
    <row r="1575" spans="1:3" ht="15">
      <c r="A1575" s="77" t="s">
        <v>281</v>
      </c>
      <c r="B1575" s="76" t="s">
        <v>2439</v>
      </c>
      <c r="C1575" s="80" t="s">
        <v>1004</v>
      </c>
    </row>
    <row r="1576" spans="1:3" ht="15">
      <c r="A1576" s="77" t="s">
        <v>281</v>
      </c>
      <c r="B1576" s="76" t="s">
        <v>2562</v>
      </c>
      <c r="C1576" s="80" t="s">
        <v>1004</v>
      </c>
    </row>
    <row r="1577" spans="1:3" ht="15">
      <c r="A1577" s="77" t="s">
        <v>281</v>
      </c>
      <c r="B1577" s="76" t="s">
        <v>2536</v>
      </c>
      <c r="C1577" s="80" t="s">
        <v>1004</v>
      </c>
    </row>
    <row r="1578" spans="1:3" ht="15">
      <c r="A1578" s="77" t="s">
        <v>281</v>
      </c>
      <c r="B1578" s="76" t="s">
        <v>2468</v>
      </c>
      <c r="C1578" s="80" t="s">
        <v>1004</v>
      </c>
    </row>
    <row r="1579" spans="1:3" ht="15">
      <c r="A1579" s="77" t="s">
        <v>281</v>
      </c>
      <c r="B1579" s="76" t="s">
        <v>2441</v>
      </c>
      <c r="C1579" s="80" t="s">
        <v>1004</v>
      </c>
    </row>
    <row r="1580" spans="1:3" ht="15">
      <c r="A1580" s="77" t="s">
        <v>281</v>
      </c>
      <c r="B1580" s="76" t="s">
        <v>2445</v>
      </c>
      <c r="C1580" s="80" t="s">
        <v>1004</v>
      </c>
    </row>
    <row r="1581" spans="1:3" ht="15">
      <c r="A1581" s="77" t="s">
        <v>288</v>
      </c>
      <c r="B1581" s="76" t="s">
        <v>3500</v>
      </c>
      <c r="C1581" s="80" t="s">
        <v>1013</v>
      </c>
    </row>
    <row r="1582" spans="1:3" ht="15">
      <c r="A1582" s="77" t="s">
        <v>288</v>
      </c>
      <c r="B1582" s="76" t="s">
        <v>3501</v>
      </c>
      <c r="C1582" s="80" t="s">
        <v>1013</v>
      </c>
    </row>
    <row r="1583" spans="1:3" ht="15">
      <c r="A1583" s="77" t="s">
        <v>288</v>
      </c>
      <c r="B1583" s="76" t="s">
        <v>2760</v>
      </c>
      <c r="C1583" s="80" t="s">
        <v>1013</v>
      </c>
    </row>
    <row r="1584" spans="1:3" ht="15">
      <c r="A1584" s="77" t="s">
        <v>288</v>
      </c>
      <c r="B1584" s="76" t="s">
        <v>2513</v>
      </c>
      <c r="C1584" s="80" t="s">
        <v>1013</v>
      </c>
    </row>
    <row r="1585" spans="1:3" ht="15">
      <c r="A1585" s="77" t="s">
        <v>288</v>
      </c>
      <c r="B1585" s="76" t="s">
        <v>2575</v>
      </c>
      <c r="C1585" s="80" t="s">
        <v>1013</v>
      </c>
    </row>
    <row r="1586" spans="1:3" ht="15">
      <c r="A1586" s="77" t="s">
        <v>288</v>
      </c>
      <c r="B1586" s="76" t="s">
        <v>3502</v>
      </c>
      <c r="C1586" s="80" t="s">
        <v>1013</v>
      </c>
    </row>
    <row r="1587" spans="1:3" ht="15">
      <c r="A1587" s="77" t="s">
        <v>288</v>
      </c>
      <c r="B1587" s="76" t="s">
        <v>2471</v>
      </c>
      <c r="C1587" s="80" t="s">
        <v>1013</v>
      </c>
    </row>
    <row r="1588" spans="1:3" ht="15">
      <c r="A1588" s="77" t="s">
        <v>288</v>
      </c>
      <c r="B1588" s="76" t="s">
        <v>2451</v>
      </c>
      <c r="C1588" s="80" t="s">
        <v>1013</v>
      </c>
    </row>
    <row r="1589" spans="1:3" ht="15">
      <c r="A1589" s="77" t="s">
        <v>288</v>
      </c>
      <c r="B1589" s="76" t="s">
        <v>3503</v>
      </c>
      <c r="C1589" s="80" t="s">
        <v>1013</v>
      </c>
    </row>
    <row r="1590" spans="1:3" ht="15">
      <c r="A1590" s="77" t="s">
        <v>288</v>
      </c>
      <c r="B1590" s="76" t="s">
        <v>2438</v>
      </c>
      <c r="C1590" s="80" t="s">
        <v>1013</v>
      </c>
    </row>
    <row r="1591" spans="1:3" ht="15">
      <c r="A1591" s="77" t="s">
        <v>288</v>
      </c>
      <c r="B1591" s="76" t="s">
        <v>2690</v>
      </c>
      <c r="C1591" s="80" t="s">
        <v>1013</v>
      </c>
    </row>
    <row r="1592" spans="1:3" ht="15">
      <c r="A1592" s="77" t="s">
        <v>288</v>
      </c>
      <c r="B1592" s="76" t="s">
        <v>2613</v>
      </c>
      <c r="C1592" s="80" t="s">
        <v>1013</v>
      </c>
    </row>
    <row r="1593" spans="1:3" ht="15">
      <c r="A1593" s="77" t="s">
        <v>288</v>
      </c>
      <c r="B1593" s="76" t="s">
        <v>2758</v>
      </c>
      <c r="C1593" s="80" t="s">
        <v>1013</v>
      </c>
    </row>
    <row r="1594" spans="1:3" ht="15">
      <c r="A1594" s="77" t="s">
        <v>288</v>
      </c>
      <c r="B1594" s="76" t="s">
        <v>2671</v>
      </c>
      <c r="C1594" s="80" t="s">
        <v>1013</v>
      </c>
    </row>
    <row r="1595" spans="1:3" ht="15">
      <c r="A1595" s="77" t="s">
        <v>288</v>
      </c>
      <c r="B1595" s="76" t="s">
        <v>2604</v>
      </c>
      <c r="C1595" s="80" t="s">
        <v>1013</v>
      </c>
    </row>
    <row r="1596" spans="1:3" ht="15">
      <c r="A1596" s="77" t="s">
        <v>288</v>
      </c>
      <c r="B1596" s="76" t="s">
        <v>3504</v>
      </c>
      <c r="C1596" s="80" t="s">
        <v>1013</v>
      </c>
    </row>
    <row r="1597" spans="1:3" ht="15">
      <c r="A1597" s="77" t="s">
        <v>288</v>
      </c>
      <c r="B1597" s="76" t="s">
        <v>3505</v>
      </c>
      <c r="C1597" s="80" t="s">
        <v>1013</v>
      </c>
    </row>
    <row r="1598" spans="1:3" ht="15">
      <c r="A1598" s="77" t="s">
        <v>288</v>
      </c>
      <c r="B1598" s="76" t="s">
        <v>2461</v>
      </c>
      <c r="C1598" s="80" t="s">
        <v>1013</v>
      </c>
    </row>
    <row r="1599" spans="1:3" ht="15">
      <c r="A1599" s="77" t="s">
        <v>288</v>
      </c>
      <c r="B1599" s="76" t="s">
        <v>2713</v>
      </c>
      <c r="C1599" s="80" t="s">
        <v>1013</v>
      </c>
    </row>
    <row r="1600" spans="1:3" ht="15">
      <c r="A1600" s="77" t="s">
        <v>288</v>
      </c>
      <c r="B1600" s="76" t="s">
        <v>2682</v>
      </c>
      <c r="C1600" s="80" t="s">
        <v>1013</v>
      </c>
    </row>
    <row r="1601" spans="1:3" ht="15">
      <c r="A1601" s="77" t="s">
        <v>288</v>
      </c>
      <c r="B1601" s="76" t="s">
        <v>3506</v>
      </c>
      <c r="C1601" s="80" t="s">
        <v>1013</v>
      </c>
    </row>
    <row r="1602" spans="1:3" ht="15">
      <c r="A1602" s="77" t="s">
        <v>288</v>
      </c>
      <c r="B1602" s="76" t="s">
        <v>3507</v>
      </c>
      <c r="C1602" s="80" t="s">
        <v>1013</v>
      </c>
    </row>
    <row r="1603" spans="1:3" ht="15">
      <c r="A1603" s="77" t="s">
        <v>288</v>
      </c>
      <c r="B1603" s="76" t="s">
        <v>3508</v>
      </c>
      <c r="C1603" s="80" t="s">
        <v>1013</v>
      </c>
    </row>
    <row r="1604" spans="1:3" ht="15">
      <c r="A1604" s="77" t="s">
        <v>288</v>
      </c>
      <c r="B1604" s="76" t="s">
        <v>397</v>
      </c>
      <c r="C1604" s="80" t="s">
        <v>1013</v>
      </c>
    </row>
    <row r="1605" spans="1:3" ht="15">
      <c r="A1605" s="77" t="s">
        <v>287</v>
      </c>
      <c r="B1605" s="76" t="s">
        <v>2438</v>
      </c>
      <c r="C1605" s="80" t="s">
        <v>1010</v>
      </c>
    </row>
    <row r="1606" spans="1:3" ht="15">
      <c r="A1606" s="77" t="s">
        <v>287</v>
      </c>
      <c r="B1606" s="76" t="s">
        <v>2453</v>
      </c>
      <c r="C1606" s="80" t="s">
        <v>1010</v>
      </c>
    </row>
    <row r="1607" spans="1:3" ht="15">
      <c r="A1607" s="77" t="s">
        <v>287</v>
      </c>
      <c r="B1607" s="76" t="s">
        <v>2659</v>
      </c>
      <c r="C1607" s="80" t="s">
        <v>1010</v>
      </c>
    </row>
    <row r="1608" spans="1:3" ht="15">
      <c r="A1608" s="77" t="s">
        <v>287</v>
      </c>
      <c r="B1608" s="76" t="s">
        <v>2463</v>
      </c>
      <c r="C1608" s="80" t="s">
        <v>1010</v>
      </c>
    </row>
    <row r="1609" spans="1:3" ht="15">
      <c r="A1609" s="77" t="s">
        <v>287</v>
      </c>
      <c r="B1609" s="76" t="s">
        <v>3509</v>
      </c>
      <c r="C1609" s="80" t="s">
        <v>1010</v>
      </c>
    </row>
    <row r="1610" spans="1:3" ht="15">
      <c r="A1610" s="77" t="s">
        <v>287</v>
      </c>
      <c r="B1610" s="76" t="s">
        <v>3510</v>
      </c>
      <c r="C1610" s="80" t="s">
        <v>1010</v>
      </c>
    </row>
    <row r="1611" spans="1:3" ht="15">
      <c r="A1611" s="77" t="s">
        <v>287</v>
      </c>
      <c r="B1611" s="76" t="s">
        <v>3511</v>
      </c>
      <c r="C1611" s="80" t="s">
        <v>1010</v>
      </c>
    </row>
    <row r="1612" spans="1:3" ht="15">
      <c r="A1612" s="77" t="s">
        <v>287</v>
      </c>
      <c r="B1612" s="76" t="s">
        <v>2450</v>
      </c>
      <c r="C1612" s="80" t="s">
        <v>1010</v>
      </c>
    </row>
    <row r="1613" spans="1:3" ht="15">
      <c r="A1613" s="77" t="s">
        <v>287</v>
      </c>
      <c r="B1613" s="76" t="s">
        <v>3512</v>
      </c>
      <c r="C1613" s="80" t="s">
        <v>1010</v>
      </c>
    </row>
    <row r="1614" spans="1:3" ht="15">
      <c r="A1614" s="77" t="s">
        <v>287</v>
      </c>
      <c r="B1614" s="76" t="s">
        <v>3513</v>
      </c>
      <c r="C1614" s="80" t="s">
        <v>1010</v>
      </c>
    </row>
    <row r="1615" spans="1:3" ht="15">
      <c r="A1615" s="77" t="s">
        <v>287</v>
      </c>
      <c r="B1615" s="76" t="s">
        <v>3514</v>
      </c>
      <c r="C1615" s="80" t="s">
        <v>1010</v>
      </c>
    </row>
    <row r="1616" spans="1:3" ht="15">
      <c r="A1616" s="77" t="s">
        <v>274</v>
      </c>
      <c r="B1616" s="76" t="s">
        <v>2438</v>
      </c>
      <c r="C1616" s="80" t="s">
        <v>995</v>
      </c>
    </row>
    <row r="1617" spans="1:3" ht="15">
      <c r="A1617" s="77" t="s">
        <v>274</v>
      </c>
      <c r="B1617" s="76" t="s">
        <v>2452</v>
      </c>
      <c r="C1617" s="80" t="s">
        <v>995</v>
      </c>
    </row>
    <row r="1618" spans="1:3" ht="15">
      <c r="A1618" s="77" t="s">
        <v>274</v>
      </c>
      <c r="B1618" s="76" t="s">
        <v>2660</v>
      </c>
      <c r="C1618" s="80" t="s">
        <v>995</v>
      </c>
    </row>
    <row r="1619" spans="1:3" ht="15">
      <c r="A1619" s="77" t="s">
        <v>274</v>
      </c>
      <c r="B1619" s="76" t="s">
        <v>3515</v>
      </c>
      <c r="C1619" s="80" t="s">
        <v>995</v>
      </c>
    </row>
    <row r="1620" spans="1:3" ht="15">
      <c r="A1620" s="77" t="s">
        <v>274</v>
      </c>
      <c r="B1620" s="76" t="s">
        <v>3516</v>
      </c>
      <c r="C1620" s="80" t="s">
        <v>995</v>
      </c>
    </row>
    <row r="1621" spans="1:3" ht="15">
      <c r="A1621" s="77" t="s">
        <v>274</v>
      </c>
      <c r="B1621" s="76" t="s">
        <v>2625</v>
      </c>
      <c r="C1621" s="80" t="s">
        <v>995</v>
      </c>
    </row>
    <row r="1622" spans="1:3" ht="15">
      <c r="A1622" s="77" t="s">
        <v>274</v>
      </c>
      <c r="B1622" s="76" t="s">
        <v>2459</v>
      </c>
      <c r="C1622" s="80" t="s">
        <v>995</v>
      </c>
    </row>
    <row r="1623" spans="1:3" ht="15">
      <c r="A1623" s="77" t="s">
        <v>274</v>
      </c>
      <c r="B1623" s="76" t="s">
        <v>384</v>
      </c>
      <c r="C1623" s="80" t="s">
        <v>995</v>
      </c>
    </row>
    <row r="1624" spans="1:3" ht="15">
      <c r="A1624" s="77" t="s">
        <v>313</v>
      </c>
      <c r="B1624" s="76" t="s">
        <v>2445</v>
      </c>
      <c r="C1624" s="80" t="s">
        <v>1046</v>
      </c>
    </row>
    <row r="1625" spans="1:3" ht="15">
      <c r="A1625" s="77" t="s">
        <v>313</v>
      </c>
      <c r="B1625" s="76">
        <v>400</v>
      </c>
      <c r="C1625" s="80" t="s">
        <v>1046</v>
      </c>
    </row>
    <row r="1626" spans="1:3" ht="15">
      <c r="A1626" s="77" t="s">
        <v>313</v>
      </c>
      <c r="B1626" s="76" t="s">
        <v>2441</v>
      </c>
      <c r="C1626" s="80" t="s">
        <v>1046</v>
      </c>
    </row>
    <row r="1627" spans="1:3" ht="15">
      <c r="A1627" s="77" t="s">
        <v>313</v>
      </c>
      <c r="B1627" s="76" t="s">
        <v>3517</v>
      </c>
      <c r="C1627" s="80" t="s">
        <v>1046</v>
      </c>
    </row>
    <row r="1628" spans="1:3" ht="15">
      <c r="A1628" s="77" t="s">
        <v>313</v>
      </c>
      <c r="B1628" s="76" t="s">
        <v>2438</v>
      </c>
      <c r="C1628" s="80" t="s">
        <v>1046</v>
      </c>
    </row>
    <row r="1629" spans="1:3" ht="15">
      <c r="A1629" s="77" t="s">
        <v>313</v>
      </c>
      <c r="B1629" s="76" t="s">
        <v>2439</v>
      </c>
      <c r="C1629" s="80" t="s">
        <v>1046</v>
      </c>
    </row>
    <row r="1630" spans="1:3" ht="15">
      <c r="A1630" s="77" t="s">
        <v>313</v>
      </c>
      <c r="B1630" s="76" t="s">
        <v>3518</v>
      </c>
      <c r="C1630" s="80" t="s">
        <v>1046</v>
      </c>
    </row>
    <row r="1631" spans="1:3" ht="15">
      <c r="A1631" s="77" t="s">
        <v>313</v>
      </c>
      <c r="B1631" s="76" t="s">
        <v>3519</v>
      </c>
      <c r="C1631" s="80" t="s">
        <v>1046</v>
      </c>
    </row>
    <row r="1632" spans="1:3" ht="15">
      <c r="A1632" s="77" t="s">
        <v>313</v>
      </c>
      <c r="B1632" s="76" t="s">
        <v>412</v>
      </c>
      <c r="C1632" s="80" t="s">
        <v>1046</v>
      </c>
    </row>
    <row r="1633" spans="1:3" ht="15">
      <c r="A1633" s="77" t="s">
        <v>313</v>
      </c>
      <c r="B1633" s="76" t="s">
        <v>413</v>
      </c>
      <c r="C1633" s="80" t="s">
        <v>1046</v>
      </c>
    </row>
    <row r="1634" spans="1:3" ht="15">
      <c r="A1634" s="77" t="s">
        <v>330</v>
      </c>
      <c r="B1634" s="76" t="s">
        <v>3520</v>
      </c>
      <c r="C1634" s="80" t="s">
        <v>1070</v>
      </c>
    </row>
    <row r="1635" spans="1:3" ht="15">
      <c r="A1635" s="77" t="s">
        <v>330</v>
      </c>
      <c r="B1635" s="76" t="s">
        <v>2622</v>
      </c>
      <c r="C1635" s="80" t="s">
        <v>1070</v>
      </c>
    </row>
    <row r="1636" spans="1:3" ht="15">
      <c r="A1636" s="77" t="s">
        <v>330</v>
      </c>
      <c r="B1636" s="76" t="s">
        <v>2456</v>
      </c>
      <c r="C1636" s="80" t="s">
        <v>1070</v>
      </c>
    </row>
    <row r="1637" spans="1:3" ht="15">
      <c r="A1637" s="77" t="s">
        <v>330</v>
      </c>
      <c r="B1637" s="76" t="s">
        <v>2438</v>
      </c>
      <c r="C1637" s="80" t="s">
        <v>1070</v>
      </c>
    </row>
    <row r="1638" spans="1:3" ht="15">
      <c r="A1638" s="77" t="s">
        <v>330</v>
      </c>
      <c r="B1638" s="76" t="s">
        <v>2439</v>
      </c>
      <c r="C1638" s="80" t="s">
        <v>1070</v>
      </c>
    </row>
    <row r="1639" spans="1:3" ht="15">
      <c r="A1639" s="77" t="s">
        <v>330</v>
      </c>
      <c r="B1639" s="76" t="s">
        <v>3521</v>
      </c>
      <c r="C1639" s="80" t="s">
        <v>1070</v>
      </c>
    </row>
    <row r="1640" spans="1:3" ht="15">
      <c r="A1640" s="77" t="s">
        <v>277</v>
      </c>
      <c r="B1640" s="76" t="s">
        <v>2702</v>
      </c>
      <c r="C1640" s="80" t="s">
        <v>998</v>
      </c>
    </row>
    <row r="1641" spans="1:3" ht="15">
      <c r="A1641" s="77" t="s">
        <v>277</v>
      </c>
      <c r="B1641" s="76" t="s">
        <v>2743</v>
      </c>
      <c r="C1641" s="80" t="s">
        <v>998</v>
      </c>
    </row>
    <row r="1642" spans="1:3" ht="15">
      <c r="A1642" s="77" t="s">
        <v>277</v>
      </c>
      <c r="B1642" s="76" t="s">
        <v>2591</v>
      </c>
      <c r="C1642" s="80" t="s">
        <v>998</v>
      </c>
    </row>
    <row r="1643" spans="1:3" ht="15">
      <c r="A1643" s="77" t="s">
        <v>277</v>
      </c>
      <c r="B1643" s="76" t="s">
        <v>2474</v>
      </c>
      <c r="C1643" s="80" t="s">
        <v>998</v>
      </c>
    </row>
    <row r="1644" spans="1:3" ht="15">
      <c r="A1644" s="77" t="s">
        <v>277</v>
      </c>
      <c r="B1644" s="76" t="s">
        <v>2640</v>
      </c>
      <c r="C1644" s="80" t="s">
        <v>998</v>
      </c>
    </row>
    <row r="1645" spans="1:3" ht="15">
      <c r="A1645" s="77" t="s">
        <v>277</v>
      </c>
      <c r="B1645" s="76" t="s">
        <v>3522</v>
      </c>
      <c r="C1645" s="80" t="s">
        <v>998</v>
      </c>
    </row>
    <row r="1646" spans="1:3" ht="15">
      <c r="A1646" s="77" t="s">
        <v>277</v>
      </c>
      <c r="B1646" s="76" t="s">
        <v>2438</v>
      </c>
      <c r="C1646" s="80" t="s">
        <v>998</v>
      </c>
    </row>
    <row r="1647" spans="1:3" ht="15">
      <c r="A1647" s="77" t="s">
        <v>277</v>
      </c>
      <c r="B1647" s="76" t="s">
        <v>2439</v>
      </c>
      <c r="C1647" s="80" t="s">
        <v>998</v>
      </c>
    </row>
    <row r="1648" spans="1:3" ht="15">
      <c r="A1648" s="77" t="s">
        <v>277</v>
      </c>
      <c r="B1648" s="76" t="s">
        <v>2619</v>
      </c>
      <c r="C1648" s="80" t="s">
        <v>998</v>
      </c>
    </row>
    <row r="1649" spans="1:3" ht="15">
      <c r="A1649" s="77" t="s">
        <v>277</v>
      </c>
      <c r="B1649" s="76" t="s">
        <v>2546</v>
      </c>
      <c r="C1649" s="80" t="s">
        <v>998</v>
      </c>
    </row>
    <row r="1650" spans="1:3" ht="15">
      <c r="A1650" s="77" t="s">
        <v>277</v>
      </c>
      <c r="B1650" s="76" t="s">
        <v>3523</v>
      </c>
      <c r="C1650" s="80" t="s">
        <v>998</v>
      </c>
    </row>
    <row r="1651" spans="1:3" ht="15">
      <c r="A1651" s="77" t="s">
        <v>277</v>
      </c>
      <c r="B1651" s="76" t="s">
        <v>2472</v>
      </c>
      <c r="C1651" s="80" t="s">
        <v>998</v>
      </c>
    </row>
    <row r="1652" spans="1:3" ht="15">
      <c r="A1652" s="77" t="s">
        <v>277</v>
      </c>
      <c r="B1652" s="76" t="s">
        <v>3524</v>
      </c>
      <c r="C1652" s="80" t="s">
        <v>998</v>
      </c>
    </row>
    <row r="1653" spans="1:3" ht="15">
      <c r="A1653" s="77" t="s">
        <v>277</v>
      </c>
      <c r="B1653" s="76" t="s">
        <v>3525</v>
      </c>
      <c r="C1653" s="80" t="s">
        <v>998</v>
      </c>
    </row>
    <row r="1654" spans="1:3" ht="15">
      <c r="A1654" s="77" t="s">
        <v>277</v>
      </c>
      <c r="B1654" s="76" t="s">
        <v>3526</v>
      </c>
      <c r="C1654" s="80" t="s">
        <v>998</v>
      </c>
    </row>
    <row r="1655" spans="1:3" ht="15">
      <c r="A1655" s="77" t="s">
        <v>277</v>
      </c>
      <c r="B1655" s="76" t="s">
        <v>2639</v>
      </c>
      <c r="C1655" s="80" t="s">
        <v>998</v>
      </c>
    </row>
    <row r="1656" spans="1:3" ht="15">
      <c r="A1656" s="77" t="s">
        <v>277</v>
      </c>
      <c r="B1656" s="76" t="s">
        <v>2480</v>
      </c>
      <c r="C1656" s="80" t="s">
        <v>998</v>
      </c>
    </row>
    <row r="1657" spans="1:3" ht="15">
      <c r="A1657" s="77" t="s">
        <v>277</v>
      </c>
      <c r="B1657" s="76" t="s">
        <v>386</v>
      </c>
      <c r="C1657" s="80" t="s">
        <v>998</v>
      </c>
    </row>
    <row r="1658" spans="1:3" ht="15">
      <c r="A1658" s="77" t="s">
        <v>263</v>
      </c>
      <c r="B1658" s="76" t="s">
        <v>3527</v>
      </c>
      <c r="C1658" s="80" t="s">
        <v>984</v>
      </c>
    </row>
    <row r="1659" spans="1:3" ht="15">
      <c r="A1659" s="77" t="s">
        <v>263</v>
      </c>
      <c r="B1659" s="76" t="s">
        <v>3528</v>
      </c>
      <c r="C1659" s="80" t="s">
        <v>984</v>
      </c>
    </row>
    <row r="1660" spans="1:3" ht="15">
      <c r="A1660" s="77" t="s">
        <v>263</v>
      </c>
      <c r="B1660" s="76" t="s">
        <v>3529</v>
      </c>
      <c r="C1660" s="80" t="s">
        <v>984</v>
      </c>
    </row>
    <row r="1661" spans="1:3" ht="15">
      <c r="A1661" s="77" t="s">
        <v>263</v>
      </c>
      <c r="B1661" s="76" t="s">
        <v>3530</v>
      </c>
      <c r="C1661" s="80" t="s">
        <v>984</v>
      </c>
    </row>
    <row r="1662" spans="1:3" ht="15">
      <c r="A1662" s="77" t="s">
        <v>263</v>
      </c>
      <c r="B1662" s="76" t="s">
        <v>3531</v>
      </c>
      <c r="C1662" s="80" t="s">
        <v>984</v>
      </c>
    </row>
    <row r="1663" spans="1:3" ht="15">
      <c r="A1663" s="77" t="s">
        <v>263</v>
      </c>
      <c r="B1663" s="76" t="s">
        <v>3532</v>
      </c>
      <c r="C1663" s="80" t="s">
        <v>984</v>
      </c>
    </row>
    <row r="1664" spans="1:3" ht="15">
      <c r="A1664" s="77" t="s">
        <v>263</v>
      </c>
      <c r="B1664" s="76" t="s">
        <v>2528</v>
      </c>
      <c r="C1664" s="80" t="s">
        <v>984</v>
      </c>
    </row>
    <row r="1665" spans="1:3" ht="15">
      <c r="A1665" s="77" t="s">
        <v>263</v>
      </c>
      <c r="B1665" s="76" t="s">
        <v>3533</v>
      </c>
      <c r="C1665" s="80" t="s">
        <v>984</v>
      </c>
    </row>
    <row r="1666" spans="1:3" ht="15">
      <c r="A1666" s="77" t="s">
        <v>263</v>
      </c>
      <c r="B1666" s="76">
        <v>80</v>
      </c>
      <c r="C1666" s="80" t="s">
        <v>984</v>
      </c>
    </row>
    <row r="1667" spans="1:3" ht="15">
      <c r="A1667" s="77" t="s">
        <v>263</v>
      </c>
      <c r="B1667" s="76" t="s">
        <v>2438</v>
      </c>
      <c r="C1667" s="80" t="s">
        <v>984</v>
      </c>
    </row>
    <row r="1668" spans="1:3" ht="15">
      <c r="A1668" s="77" t="s">
        <v>263</v>
      </c>
      <c r="B1668" s="76" t="s">
        <v>3534</v>
      </c>
      <c r="C1668" s="80" t="s">
        <v>984</v>
      </c>
    </row>
    <row r="1669" spans="1:3" ht="15">
      <c r="A1669" s="77" t="s">
        <v>263</v>
      </c>
      <c r="B1669" s="76" t="s">
        <v>2665</v>
      </c>
      <c r="C1669" s="80" t="s">
        <v>984</v>
      </c>
    </row>
    <row r="1670" spans="1:3" ht="15">
      <c r="A1670" s="77" t="s">
        <v>263</v>
      </c>
      <c r="B1670" s="76" t="s">
        <v>3535</v>
      </c>
      <c r="C1670" s="80" t="s">
        <v>984</v>
      </c>
    </row>
    <row r="1671" spans="1:3" ht="15">
      <c r="A1671" s="77" t="s">
        <v>263</v>
      </c>
      <c r="B1671" s="76" t="s">
        <v>3536</v>
      </c>
      <c r="C1671" s="80" t="s">
        <v>984</v>
      </c>
    </row>
    <row r="1672" spans="1:3" ht="15">
      <c r="A1672" s="77" t="s">
        <v>263</v>
      </c>
      <c r="B1672" s="76" t="s">
        <v>3537</v>
      </c>
      <c r="C1672" s="80" t="s">
        <v>984</v>
      </c>
    </row>
    <row r="1673" spans="1:3" ht="15">
      <c r="A1673" s="77" t="s">
        <v>263</v>
      </c>
      <c r="B1673" s="76" t="s">
        <v>2520</v>
      </c>
      <c r="C1673" s="80" t="s">
        <v>984</v>
      </c>
    </row>
    <row r="1674" spans="1:3" ht="15">
      <c r="A1674" s="77" t="s">
        <v>263</v>
      </c>
      <c r="B1674" s="76" t="s">
        <v>2704</v>
      </c>
      <c r="C1674" s="80" t="s">
        <v>984</v>
      </c>
    </row>
    <row r="1675" spans="1:3" ht="15">
      <c r="A1675" s="77" t="s">
        <v>263</v>
      </c>
      <c r="B1675" s="76" t="s">
        <v>3538</v>
      </c>
      <c r="C1675" s="80" t="s">
        <v>984</v>
      </c>
    </row>
    <row r="1676" spans="1:3" ht="15">
      <c r="A1676" s="77" t="s">
        <v>263</v>
      </c>
      <c r="B1676" s="76" t="s">
        <v>350</v>
      </c>
      <c r="C1676" s="80" t="s">
        <v>984</v>
      </c>
    </row>
    <row r="1677" spans="1:3" ht="15">
      <c r="A1677" s="77" t="s">
        <v>262</v>
      </c>
      <c r="B1677" s="76" t="s">
        <v>2438</v>
      </c>
      <c r="C1677" s="80" t="s">
        <v>983</v>
      </c>
    </row>
    <row r="1678" spans="1:3" ht="15">
      <c r="A1678" s="77" t="s">
        <v>262</v>
      </c>
      <c r="B1678" s="76" t="s">
        <v>2453</v>
      </c>
      <c r="C1678" s="80" t="s">
        <v>983</v>
      </c>
    </row>
    <row r="1679" spans="1:3" ht="15">
      <c r="A1679" s="77" t="s">
        <v>262</v>
      </c>
      <c r="B1679" s="76" t="s">
        <v>3539</v>
      </c>
      <c r="C1679" s="80" t="s">
        <v>983</v>
      </c>
    </row>
    <row r="1680" spans="1:3" ht="15">
      <c r="A1680" s="77" t="s">
        <v>262</v>
      </c>
      <c r="B1680" s="76" t="s">
        <v>2622</v>
      </c>
      <c r="C1680" s="80" t="s">
        <v>983</v>
      </c>
    </row>
    <row r="1681" spans="1:3" ht="15">
      <c r="A1681" s="77" t="s">
        <v>262</v>
      </c>
      <c r="B1681" s="76" t="s">
        <v>2686</v>
      </c>
      <c r="C1681" s="80" t="s">
        <v>983</v>
      </c>
    </row>
    <row r="1682" spans="1:3" ht="15">
      <c r="A1682" s="77" t="s">
        <v>262</v>
      </c>
      <c r="B1682" s="76" t="s">
        <v>2517</v>
      </c>
      <c r="C1682" s="80" t="s">
        <v>983</v>
      </c>
    </row>
    <row r="1683" spans="1:3" ht="15">
      <c r="A1683" s="77" t="s">
        <v>262</v>
      </c>
      <c r="B1683" s="76" t="s">
        <v>3540</v>
      </c>
      <c r="C1683" s="80" t="s">
        <v>983</v>
      </c>
    </row>
    <row r="1684" spans="1:3" ht="15">
      <c r="A1684" s="77" t="s">
        <v>262</v>
      </c>
      <c r="B1684" s="76" t="s">
        <v>3541</v>
      </c>
      <c r="C1684" s="80" t="s">
        <v>983</v>
      </c>
    </row>
    <row r="1685" spans="1:3" ht="15">
      <c r="A1685" s="77" t="s">
        <v>262</v>
      </c>
      <c r="B1685" s="76" t="s">
        <v>3542</v>
      </c>
      <c r="C1685" s="80" t="s">
        <v>983</v>
      </c>
    </row>
    <row r="1686" spans="1:3" ht="15">
      <c r="A1686" s="77" t="s">
        <v>262</v>
      </c>
      <c r="B1686" s="76" t="s">
        <v>2697</v>
      </c>
      <c r="C1686" s="80" t="s">
        <v>983</v>
      </c>
    </row>
    <row r="1687" spans="1:3" ht="15">
      <c r="A1687" s="77" t="s">
        <v>262</v>
      </c>
      <c r="B1687" s="76" t="s">
        <v>2747</v>
      </c>
      <c r="C1687" s="80" t="s">
        <v>983</v>
      </c>
    </row>
    <row r="1688" spans="1:3" ht="15">
      <c r="A1688" s="77" t="s">
        <v>262</v>
      </c>
      <c r="B1688" s="76" t="s">
        <v>2675</v>
      </c>
      <c r="C1688" s="80" t="s">
        <v>983</v>
      </c>
    </row>
    <row r="1689" spans="1:3" ht="15">
      <c r="A1689" s="77" t="s">
        <v>262</v>
      </c>
      <c r="B1689" s="76" t="s">
        <v>2742</v>
      </c>
      <c r="C1689" s="80" t="s">
        <v>983</v>
      </c>
    </row>
    <row r="1690" spans="1:3" ht="15">
      <c r="A1690" s="77" t="s">
        <v>262</v>
      </c>
      <c r="B1690" s="76" t="s">
        <v>3543</v>
      </c>
      <c r="C1690" s="80" t="s">
        <v>983</v>
      </c>
    </row>
    <row r="1691" spans="1:3" ht="15">
      <c r="A1691" s="77" t="s">
        <v>262</v>
      </c>
      <c r="B1691" s="76" t="s">
        <v>3544</v>
      </c>
      <c r="C1691" s="80" t="s">
        <v>983</v>
      </c>
    </row>
    <row r="1692" spans="1:3" ht="15">
      <c r="A1692" s="77" t="s">
        <v>262</v>
      </c>
      <c r="B1692" s="76" t="s">
        <v>3545</v>
      </c>
      <c r="C1692" s="80" t="s">
        <v>983</v>
      </c>
    </row>
    <row r="1693" spans="1:3" ht="15">
      <c r="A1693" s="77" t="s">
        <v>262</v>
      </c>
      <c r="B1693" s="76" t="s">
        <v>3546</v>
      </c>
      <c r="C1693" s="80" t="s">
        <v>983</v>
      </c>
    </row>
    <row r="1694" spans="1:3" ht="15">
      <c r="A1694" s="77" t="s">
        <v>262</v>
      </c>
      <c r="B1694" s="76" t="s">
        <v>3547</v>
      </c>
      <c r="C1694" s="80" t="s">
        <v>983</v>
      </c>
    </row>
    <row r="1695" spans="1:3" ht="15">
      <c r="A1695" s="77" t="s">
        <v>262</v>
      </c>
      <c r="B1695" s="76" t="s">
        <v>3548</v>
      </c>
      <c r="C1695" s="80" t="s">
        <v>983</v>
      </c>
    </row>
    <row r="1696" spans="1:3" ht="15">
      <c r="A1696" s="77" t="s">
        <v>262</v>
      </c>
      <c r="B1696" s="76" t="s">
        <v>375</v>
      </c>
      <c r="C1696" s="80" t="s">
        <v>983</v>
      </c>
    </row>
    <row r="1697" spans="1:3" ht="15">
      <c r="A1697" s="77" t="s">
        <v>298</v>
      </c>
      <c r="B1697" s="76" t="s">
        <v>3549</v>
      </c>
      <c r="C1697" s="80" t="s">
        <v>1023</v>
      </c>
    </row>
    <row r="1698" spans="1:3" ht="15">
      <c r="A1698" s="77" t="s">
        <v>298</v>
      </c>
      <c r="B1698" s="76" t="s">
        <v>2438</v>
      </c>
      <c r="C1698" s="80" t="s">
        <v>1023</v>
      </c>
    </row>
    <row r="1699" spans="1:3" ht="15">
      <c r="A1699" s="77" t="s">
        <v>298</v>
      </c>
      <c r="B1699" s="76" t="s">
        <v>2631</v>
      </c>
      <c r="C1699" s="80" t="s">
        <v>1023</v>
      </c>
    </row>
    <row r="1700" spans="1:3" ht="15">
      <c r="A1700" s="77" t="s">
        <v>298</v>
      </c>
      <c r="B1700" s="76" t="s">
        <v>3550</v>
      </c>
      <c r="C1700" s="80" t="s">
        <v>1023</v>
      </c>
    </row>
    <row r="1701" spans="1:3" ht="15">
      <c r="A1701" s="77" t="s">
        <v>298</v>
      </c>
      <c r="B1701" s="76" t="s">
        <v>2513</v>
      </c>
      <c r="C1701" s="80" t="s">
        <v>1023</v>
      </c>
    </row>
    <row r="1702" spans="1:3" ht="15">
      <c r="A1702" s="77" t="s">
        <v>298</v>
      </c>
      <c r="B1702" s="76" t="s">
        <v>2577</v>
      </c>
      <c r="C1702" s="80" t="s">
        <v>1023</v>
      </c>
    </row>
    <row r="1703" spans="1:3" ht="15">
      <c r="A1703" s="77" t="s">
        <v>298</v>
      </c>
      <c r="B1703" s="76" t="s">
        <v>3551</v>
      </c>
      <c r="C1703" s="80" t="s">
        <v>1023</v>
      </c>
    </row>
    <row r="1704" spans="1:3" ht="15">
      <c r="A1704" s="77" t="s">
        <v>298</v>
      </c>
      <c r="B1704" s="76" t="s">
        <v>3552</v>
      </c>
      <c r="C1704" s="80" t="s">
        <v>1023</v>
      </c>
    </row>
    <row r="1705" spans="1:3" ht="15">
      <c r="A1705" s="77" t="s">
        <v>298</v>
      </c>
      <c r="B1705" s="76" t="s">
        <v>3553</v>
      </c>
      <c r="C1705" s="80" t="s">
        <v>1023</v>
      </c>
    </row>
    <row r="1706" spans="1:3" ht="15">
      <c r="A1706" s="77" t="s">
        <v>298</v>
      </c>
      <c r="B1706" s="76" t="s">
        <v>3554</v>
      </c>
      <c r="C1706" s="80" t="s">
        <v>1023</v>
      </c>
    </row>
    <row r="1707" spans="1:3" ht="15">
      <c r="A1707" s="77" t="s">
        <v>298</v>
      </c>
      <c r="B1707" s="76" t="s">
        <v>2546</v>
      </c>
      <c r="C1707" s="80" t="s">
        <v>1023</v>
      </c>
    </row>
    <row r="1708" spans="1:3" ht="15">
      <c r="A1708" s="77" t="s">
        <v>298</v>
      </c>
      <c r="B1708" s="76" t="s">
        <v>2566</v>
      </c>
      <c r="C1708" s="80" t="s">
        <v>1023</v>
      </c>
    </row>
    <row r="1709" spans="1:3" ht="15">
      <c r="A1709" s="77" t="s">
        <v>298</v>
      </c>
      <c r="B1709" s="76" t="s">
        <v>2522</v>
      </c>
      <c r="C1709" s="80" t="s">
        <v>1023</v>
      </c>
    </row>
    <row r="1710" spans="1:3" ht="15">
      <c r="A1710" s="77" t="s">
        <v>298</v>
      </c>
      <c r="B1710" s="76" t="s">
        <v>2525</v>
      </c>
      <c r="C1710" s="80" t="s">
        <v>1023</v>
      </c>
    </row>
    <row r="1711" spans="1:3" ht="15">
      <c r="A1711" s="77" t="s">
        <v>298</v>
      </c>
      <c r="B1711" s="76" t="s">
        <v>2533</v>
      </c>
      <c r="C1711" s="80" t="s">
        <v>1023</v>
      </c>
    </row>
    <row r="1712" spans="1:3" ht="15">
      <c r="A1712" s="77" t="s">
        <v>229</v>
      </c>
      <c r="B1712" s="76" t="s">
        <v>2753</v>
      </c>
      <c r="C1712" s="80" t="s">
        <v>947</v>
      </c>
    </row>
    <row r="1713" spans="1:3" ht="15">
      <c r="A1713" s="77" t="s">
        <v>229</v>
      </c>
      <c r="B1713" s="76" t="s">
        <v>3555</v>
      </c>
      <c r="C1713" s="80" t="s">
        <v>947</v>
      </c>
    </row>
    <row r="1714" spans="1:3" ht="15">
      <c r="A1714" s="77" t="s">
        <v>229</v>
      </c>
      <c r="B1714" s="76" t="s">
        <v>2445</v>
      </c>
      <c r="C1714" s="80" t="s">
        <v>947</v>
      </c>
    </row>
    <row r="1715" spans="1:3" ht="15">
      <c r="A1715" s="77" t="s">
        <v>229</v>
      </c>
      <c r="B1715" s="76">
        <v>0</v>
      </c>
      <c r="C1715" s="80" t="s">
        <v>947</v>
      </c>
    </row>
    <row r="1716" spans="1:3" ht="15">
      <c r="A1716" s="77" t="s">
        <v>229</v>
      </c>
      <c r="B1716" s="76">
        <v>25</v>
      </c>
      <c r="C1716" s="80" t="s">
        <v>947</v>
      </c>
    </row>
    <row r="1717" spans="1:3" ht="15">
      <c r="A1717" s="77" t="s">
        <v>229</v>
      </c>
      <c r="B1717" s="76" t="s">
        <v>2496</v>
      </c>
      <c r="C1717" s="80" t="s">
        <v>947</v>
      </c>
    </row>
    <row r="1718" spans="1:3" ht="15">
      <c r="A1718" s="77" t="s">
        <v>229</v>
      </c>
      <c r="B1718" s="76" t="s">
        <v>2441</v>
      </c>
      <c r="C1718" s="80" t="s">
        <v>947</v>
      </c>
    </row>
    <row r="1719" spans="1:3" ht="15">
      <c r="A1719" s="77" t="s">
        <v>229</v>
      </c>
      <c r="B1719" s="76" t="s">
        <v>2438</v>
      </c>
      <c r="C1719" s="80" t="s">
        <v>947</v>
      </c>
    </row>
    <row r="1720" spans="1:3" ht="15">
      <c r="A1720" s="77" t="s">
        <v>229</v>
      </c>
      <c r="B1720" s="76" t="s">
        <v>2439</v>
      </c>
      <c r="C1720" s="80" t="s">
        <v>947</v>
      </c>
    </row>
    <row r="1721" spans="1:3" ht="15">
      <c r="A1721" s="77" t="s">
        <v>310</v>
      </c>
      <c r="B1721" s="76">
        <v>1918</v>
      </c>
      <c r="C1721" s="80" t="s">
        <v>1042</v>
      </c>
    </row>
    <row r="1722" spans="1:3" ht="15">
      <c r="A1722" s="77" t="s">
        <v>310</v>
      </c>
      <c r="B1722" s="76" t="s">
        <v>2500</v>
      </c>
      <c r="C1722" s="80" t="s">
        <v>1042</v>
      </c>
    </row>
    <row r="1723" spans="1:3" ht="15">
      <c r="A1723" s="77" t="s">
        <v>310</v>
      </c>
      <c r="B1723" s="76" t="s">
        <v>2573</v>
      </c>
      <c r="C1723" s="80" t="s">
        <v>1042</v>
      </c>
    </row>
    <row r="1724" spans="1:3" ht="15">
      <c r="A1724" s="77" t="s">
        <v>310</v>
      </c>
      <c r="B1724" s="76" t="s">
        <v>2487</v>
      </c>
      <c r="C1724" s="80" t="s">
        <v>1042</v>
      </c>
    </row>
    <row r="1725" spans="1:3" ht="15">
      <c r="A1725" s="77" t="s">
        <v>310</v>
      </c>
      <c r="B1725" s="76" t="s">
        <v>3556</v>
      </c>
      <c r="C1725" s="80" t="s">
        <v>1042</v>
      </c>
    </row>
    <row r="1726" spans="1:3" ht="15">
      <c r="A1726" s="77" t="s">
        <v>310</v>
      </c>
      <c r="B1726" s="76" t="s">
        <v>3557</v>
      </c>
      <c r="C1726" s="80" t="s">
        <v>1042</v>
      </c>
    </row>
    <row r="1727" spans="1:3" ht="15">
      <c r="A1727" s="77" t="s">
        <v>310</v>
      </c>
      <c r="B1727" s="76" t="s">
        <v>2646</v>
      </c>
      <c r="C1727" s="80" t="s">
        <v>1042</v>
      </c>
    </row>
    <row r="1728" spans="1:3" ht="15">
      <c r="A1728" s="77" t="s">
        <v>310</v>
      </c>
      <c r="B1728" s="76" t="s">
        <v>2444</v>
      </c>
      <c r="C1728" s="80" t="s">
        <v>1042</v>
      </c>
    </row>
    <row r="1729" spans="1:3" ht="15">
      <c r="A1729" s="77" t="s">
        <v>310</v>
      </c>
      <c r="B1729" s="76" t="s">
        <v>3558</v>
      </c>
      <c r="C1729" s="80" t="s">
        <v>1042</v>
      </c>
    </row>
    <row r="1730" spans="1:3" ht="15">
      <c r="A1730" s="77" t="s">
        <v>310</v>
      </c>
      <c r="B1730" s="76">
        <v>44</v>
      </c>
      <c r="C1730" s="80" t="s">
        <v>1042</v>
      </c>
    </row>
    <row r="1731" spans="1:3" ht="15">
      <c r="A1731" s="77" t="s">
        <v>310</v>
      </c>
      <c r="B1731" s="76">
        <v>10</v>
      </c>
      <c r="C1731" s="80" t="s">
        <v>1042</v>
      </c>
    </row>
    <row r="1732" spans="1:3" ht="15">
      <c r="A1732" s="77" t="s">
        <v>310</v>
      </c>
      <c r="B1732" s="76">
        <v>2023</v>
      </c>
      <c r="C1732" s="80" t="s">
        <v>1042</v>
      </c>
    </row>
    <row r="1733" spans="1:3" ht="15">
      <c r="A1733" s="77" t="s">
        <v>310</v>
      </c>
      <c r="B1733" s="76">
        <v>15</v>
      </c>
      <c r="C1733" s="80" t="s">
        <v>1042</v>
      </c>
    </row>
    <row r="1734" spans="1:3" ht="15">
      <c r="A1734" s="77" t="s">
        <v>310</v>
      </c>
      <c r="B1734" s="76" t="s">
        <v>2627</v>
      </c>
      <c r="C1734" s="80" t="s">
        <v>1042</v>
      </c>
    </row>
    <row r="1735" spans="1:3" ht="15">
      <c r="A1735" s="77" t="s">
        <v>310</v>
      </c>
      <c r="B1735" s="76" t="s">
        <v>3559</v>
      </c>
      <c r="C1735" s="80" t="s">
        <v>1042</v>
      </c>
    </row>
    <row r="1736" spans="1:3" ht="15">
      <c r="A1736" s="77" t="s">
        <v>310</v>
      </c>
      <c r="B1736" s="76" t="s">
        <v>3560</v>
      </c>
      <c r="C1736" s="80" t="s">
        <v>1042</v>
      </c>
    </row>
    <row r="1737" spans="1:3" ht="15">
      <c r="A1737" s="77" t="s">
        <v>310</v>
      </c>
      <c r="B1737" s="76" t="s">
        <v>3561</v>
      </c>
      <c r="C1737" s="80" t="s">
        <v>1042</v>
      </c>
    </row>
    <row r="1738" spans="1:3" ht="15">
      <c r="A1738" s="77" t="s">
        <v>310</v>
      </c>
      <c r="B1738" s="76" t="s">
        <v>3562</v>
      </c>
      <c r="C1738" s="80" t="s">
        <v>1042</v>
      </c>
    </row>
    <row r="1739" spans="1:3" ht="15">
      <c r="A1739" s="77" t="s">
        <v>310</v>
      </c>
      <c r="B1739" s="76" t="s">
        <v>2733</v>
      </c>
      <c r="C1739" s="80" t="s">
        <v>1042</v>
      </c>
    </row>
    <row r="1740" spans="1:3" ht="15">
      <c r="A1740" s="77" t="s">
        <v>310</v>
      </c>
      <c r="B1740" s="76" t="s">
        <v>3563</v>
      </c>
      <c r="C1740" s="80" t="s">
        <v>1042</v>
      </c>
    </row>
    <row r="1741" spans="1:3" ht="15">
      <c r="A1741" s="77" t="s">
        <v>310</v>
      </c>
      <c r="B1741" s="76" t="s">
        <v>3564</v>
      </c>
      <c r="C1741" s="80" t="s">
        <v>1042</v>
      </c>
    </row>
    <row r="1742" spans="1:3" ht="15">
      <c r="A1742" s="77" t="s">
        <v>310</v>
      </c>
      <c r="B1742" s="76" t="s">
        <v>3565</v>
      </c>
      <c r="C1742" s="80" t="s">
        <v>1042</v>
      </c>
    </row>
    <row r="1743" spans="1:3" ht="15">
      <c r="A1743" s="77" t="s">
        <v>310</v>
      </c>
      <c r="B1743" s="76">
        <v>100</v>
      </c>
      <c r="C1743" s="80" t="s">
        <v>1042</v>
      </c>
    </row>
    <row r="1744" spans="1:3" ht="15">
      <c r="A1744" s="77" t="s">
        <v>310</v>
      </c>
      <c r="B1744" s="76" t="s">
        <v>3566</v>
      </c>
      <c r="C1744" s="80" t="s">
        <v>1042</v>
      </c>
    </row>
    <row r="1745" spans="1:3" ht="15">
      <c r="A1745" s="77" t="s">
        <v>310</v>
      </c>
      <c r="B1745" s="76" t="s">
        <v>2470</v>
      </c>
      <c r="C1745" s="80" t="s">
        <v>1042</v>
      </c>
    </row>
    <row r="1746" spans="1:3" ht="15">
      <c r="A1746" s="77" t="s">
        <v>310</v>
      </c>
      <c r="B1746" s="76" t="s">
        <v>2438</v>
      </c>
      <c r="C1746" s="80" t="s">
        <v>1042</v>
      </c>
    </row>
    <row r="1747" spans="1:3" ht="15">
      <c r="A1747" s="77" t="s">
        <v>310</v>
      </c>
      <c r="B1747" s="76" t="s">
        <v>2439</v>
      </c>
      <c r="C1747" s="80" t="s">
        <v>1042</v>
      </c>
    </row>
    <row r="1748" spans="1:3" ht="15">
      <c r="A1748" s="77" t="s">
        <v>278</v>
      </c>
      <c r="B1748" s="76" t="s">
        <v>3567</v>
      </c>
      <c r="C1748" s="80" t="s">
        <v>999</v>
      </c>
    </row>
    <row r="1749" spans="1:3" ht="15">
      <c r="A1749" s="77" t="s">
        <v>278</v>
      </c>
      <c r="B1749" s="76" t="s">
        <v>2438</v>
      </c>
      <c r="C1749" s="80" t="s">
        <v>999</v>
      </c>
    </row>
    <row r="1750" spans="1:3" ht="15">
      <c r="A1750" s="77" t="s">
        <v>278</v>
      </c>
      <c r="B1750" s="76" t="s">
        <v>2439</v>
      </c>
      <c r="C1750" s="80" t="s">
        <v>999</v>
      </c>
    </row>
    <row r="1751" spans="1:3" ht="15">
      <c r="A1751" s="77" t="s">
        <v>278</v>
      </c>
      <c r="B1751" s="76" t="s">
        <v>3568</v>
      </c>
      <c r="C1751" s="80" t="s">
        <v>999</v>
      </c>
    </row>
    <row r="1752" spans="1:3" ht="15">
      <c r="A1752" s="77" t="s">
        <v>278</v>
      </c>
      <c r="B1752" s="76" t="s">
        <v>2670</v>
      </c>
      <c r="C1752" s="80" t="s">
        <v>999</v>
      </c>
    </row>
    <row r="1753" spans="1:3" ht="15">
      <c r="A1753" s="77" t="s">
        <v>278</v>
      </c>
      <c r="B1753" s="76" t="s">
        <v>2596</v>
      </c>
      <c r="C1753" s="80" t="s">
        <v>999</v>
      </c>
    </row>
    <row r="1754" spans="1:3" ht="15">
      <c r="A1754" s="77" t="s">
        <v>278</v>
      </c>
      <c r="B1754" s="76" t="s">
        <v>3569</v>
      </c>
      <c r="C1754" s="80" t="s">
        <v>999</v>
      </c>
    </row>
    <row r="1755" spans="1:3" ht="15">
      <c r="A1755" s="77" t="s">
        <v>278</v>
      </c>
      <c r="B1755" s="76" t="s">
        <v>3570</v>
      </c>
      <c r="C1755" s="80" t="s">
        <v>999</v>
      </c>
    </row>
    <row r="1756" spans="1:3" ht="15">
      <c r="A1756" s="77" t="s">
        <v>278</v>
      </c>
      <c r="B1756" s="76" t="s">
        <v>2579</v>
      </c>
      <c r="C1756" s="80" t="s">
        <v>999</v>
      </c>
    </row>
    <row r="1757" spans="1:3" ht="15">
      <c r="A1757" s="77" t="s">
        <v>278</v>
      </c>
      <c r="B1757" s="76" t="s">
        <v>2487</v>
      </c>
      <c r="C1757" s="80" t="s">
        <v>999</v>
      </c>
    </row>
    <row r="1758" spans="1:3" ht="15">
      <c r="A1758" s="77" t="s">
        <v>278</v>
      </c>
      <c r="B1758" s="76" t="s">
        <v>3571</v>
      </c>
      <c r="C1758" s="80" t="s">
        <v>999</v>
      </c>
    </row>
    <row r="1759" spans="1:3" ht="15">
      <c r="A1759" s="77" t="s">
        <v>278</v>
      </c>
      <c r="B1759" s="76" t="s">
        <v>3572</v>
      </c>
      <c r="C1759" s="80" t="s">
        <v>999</v>
      </c>
    </row>
    <row r="1760" spans="1:3" ht="15">
      <c r="A1760" s="77" t="s">
        <v>278</v>
      </c>
      <c r="B1760" s="76" t="s">
        <v>2543</v>
      </c>
      <c r="C1760" s="80" t="s">
        <v>999</v>
      </c>
    </row>
    <row r="1761" spans="1:3" ht="15">
      <c r="A1761" s="77" t="s">
        <v>278</v>
      </c>
      <c r="B1761" s="76" t="s">
        <v>2574</v>
      </c>
      <c r="C1761" s="80" t="s">
        <v>999</v>
      </c>
    </row>
    <row r="1762" spans="1:3" ht="15">
      <c r="A1762" s="77" t="s">
        <v>278</v>
      </c>
      <c r="B1762" s="76" t="s">
        <v>2527</v>
      </c>
      <c r="C1762" s="80" t="s">
        <v>999</v>
      </c>
    </row>
    <row r="1763" spans="1:3" ht="15">
      <c r="A1763" s="77" t="s">
        <v>278</v>
      </c>
      <c r="B1763" s="76" t="s">
        <v>3573</v>
      </c>
      <c r="C1763" s="80" t="s">
        <v>999</v>
      </c>
    </row>
    <row r="1764" spans="1:3" ht="15">
      <c r="A1764" s="77" t="s">
        <v>278</v>
      </c>
      <c r="B1764" s="76" t="s">
        <v>2573</v>
      </c>
      <c r="C1764" s="80" t="s">
        <v>999</v>
      </c>
    </row>
    <row r="1765" spans="1:3" ht="15">
      <c r="A1765" s="77" t="s">
        <v>278</v>
      </c>
      <c r="B1765" s="76" t="s">
        <v>2454</v>
      </c>
      <c r="C1765" s="80" t="s">
        <v>999</v>
      </c>
    </row>
    <row r="1766" spans="1:3" ht="15">
      <c r="A1766" s="77" t="s">
        <v>278</v>
      </c>
      <c r="B1766" s="76">
        <v>51</v>
      </c>
      <c r="C1766" s="80" t="s">
        <v>999</v>
      </c>
    </row>
    <row r="1767" spans="1:3" ht="15">
      <c r="A1767" s="77" t="s">
        <v>278</v>
      </c>
      <c r="B1767" s="76" t="s">
        <v>3574</v>
      </c>
      <c r="C1767" s="80" t="s">
        <v>999</v>
      </c>
    </row>
    <row r="1768" spans="1:3" ht="15">
      <c r="A1768" s="77" t="s">
        <v>278</v>
      </c>
      <c r="B1768" s="76" t="s">
        <v>2476</v>
      </c>
      <c r="C1768" s="80" t="s">
        <v>999</v>
      </c>
    </row>
    <row r="1769" spans="1:3" ht="15">
      <c r="A1769" s="77" t="s">
        <v>278</v>
      </c>
      <c r="B1769" s="76" t="s">
        <v>3386</v>
      </c>
      <c r="C1769" s="80" t="s">
        <v>999</v>
      </c>
    </row>
    <row r="1770" spans="1:3" ht="15">
      <c r="A1770" s="77" t="s">
        <v>278</v>
      </c>
      <c r="B1770" s="76" t="s">
        <v>3575</v>
      </c>
      <c r="C1770" s="80" t="s">
        <v>999</v>
      </c>
    </row>
    <row r="1771" spans="1:3" ht="15">
      <c r="A1771" s="77" t="s">
        <v>278</v>
      </c>
      <c r="B1771" s="76" t="s">
        <v>3576</v>
      </c>
      <c r="C1771" s="80" t="s">
        <v>999</v>
      </c>
    </row>
    <row r="1772" spans="1:3" ht="15">
      <c r="A1772" s="77" t="s">
        <v>278</v>
      </c>
      <c r="B1772" s="76" t="s">
        <v>3577</v>
      </c>
      <c r="C1772" s="80" t="s">
        <v>999</v>
      </c>
    </row>
    <row r="1773" spans="1:3" ht="15">
      <c r="A1773" s="77" t="s">
        <v>249</v>
      </c>
      <c r="B1773" s="76" t="s">
        <v>3578</v>
      </c>
      <c r="C1773" s="80" t="s">
        <v>970</v>
      </c>
    </row>
    <row r="1774" spans="1:3" ht="15">
      <c r="A1774" s="77" t="s">
        <v>249</v>
      </c>
      <c r="B1774" s="76" t="s">
        <v>3579</v>
      </c>
      <c r="C1774" s="80" t="s">
        <v>970</v>
      </c>
    </row>
    <row r="1775" spans="1:3" ht="15">
      <c r="A1775" s="77" t="s">
        <v>249</v>
      </c>
      <c r="B1775" s="76" t="s">
        <v>3580</v>
      </c>
      <c r="C1775" s="80" t="s">
        <v>970</v>
      </c>
    </row>
    <row r="1776" spans="1:3" ht="15">
      <c r="A1776" s="77" t="s">
        <v>249</v>
      </c>
      <c r="B1776" s="76" t="s">
        <v>3581</v>
      </c>
      <c r="C1776" s="80" t="s">
        <v>970</v>
      </c>
    </row>
    <row r="1777" spans="1:3" ht="15">
      <c r="A1777" s="77" t="s">
        <v>249</v>
      </c>
      <c r="B1777" s="76" t="s">
        <v>3582</v>
      </c>
      <c r="C1777" s="80" t="s">
        <v>970</v>
      </c>
    </row>
    <row r="1778" spans="1:3" ht="15">
      <c r="A1778" s="77" t="s">
        <v>249</v>
      </c>
      <c r="B1778" s="76" t="s">
        <v>3583</v>
      </c>
      <c r="C1778" s="80" t="s">
        <v>970</v>
      </c>
    </row>
    <row r="1779" spans="1:3" ht="15">
      <c r="A1779" s="77" t="s">
        <v>249</v>
      </c>
      <c r="B1779" s="76" t="s">
        <v>2474</v>
      </c>
      <c r="C1779" s="80" t="s">
        <v>970</v>
      </c>
    </row>
    <row r="1780" spans="1:3" ht="15">
      <c r="A1780" s="77" t="s">
        <v>249</v>
      </c>
      <c r="B1780" s="76" t="s">
        <v>2633</v>
      </c>
      <c r="C1780" s="80" t="s">
        <v>970</v>
      </c>
    </row>
    <row r="1781" spans="1:3" ht="15">
      <c r="A1781" s="77" t="s">
        <v>249</v>
      </c>
      <c r="B1781" s="76" t="s">
        <v>2438</v>
      </c>
      <c r="C1781" s="80" t="s">
        <v>970</v>
      </c>
    </row>
    <row r="1782" spans="1:3" ht="15">
      <c r="A1782" s="77" t="s">
        <v>249</v>
      </c>
      <c r="B1782" s="76" t="s">
        <v>2494</v>
      </c>
      <c r="C1782" s="80" t="s">
        <v>970</v>
      </c>
    </row>
    <row r="1783" spans="1:3" ht="15">
      <c r="A1783" s="77" t="s">
        <v>249</v>
      </c>
      <c r="B1783" s="76" t="s">
        <v>3584</v>
      </c>
      <c r="C1783" s="80" t="s">
        <v>970</v>
      </c>
    </row>
    <row r="1784" spans="1:3" ht="15">
      <c r="A1784" s="77" t="s">
        <v>249</v>
      </c>
      <c r="B1784" s="76" t="s">
        <v>2500</v>
      </c>
      <c r="C1784" s="80" t="s">
        <v>970</v>
      </c>
    </row>
    <row r="1785" spans="1:3" ht="15">
      <c r="A1785" s="77" t="s">
        <v>249</v>
      </c>
      <c r="B1785" s="76" t="s">
        <v>3585</v>
      </c>
      <c r="C1785" s="80" t="s">
        <v>970</v>
      </c>
    </row>
    <row r="1786" spans="1:3" ht="15">
      <c r="A1786" s="77" t="s">
        <v>249</v>
      </c>
      <c r="B1786" s="76" t="s">
        <v>3586</v>
      </c>
      <c r="C1786" s="80" t="s">
        <v>970</v>
      </c>
    </row>
    <row r="1787" spans="1:3" ht="15">
      <c r="A1787" s="77" t="s">
        <v>249</v>
      </c>
      <c r="B1787" s="76" t="s">
        <v>2585</v>
      </c>
      <c r="C1787" s="80" t="s">
        <v>970</v>
      </c>
    </row>
    <row r="1788" spans="1:3" ht="15">
      <c r="A1788" s="77" t="s">
        <v>249</v>
      </c>
      <c r="B1788" s="76" t="s">
        <v>2574</v>
      </c>
      <c r="C1788" s="80" t="s">
        <v>970</v>
      </c>
    </row>
    <row r="1789" spans="1:3" ht="15">
      <c r="A1789" s="77" t="s">
        <v>249</v>
      </c>
      <c r="B1789" s="76" t="s">
        <v>3587</v>
      </c>
      <c r="C1789" s="80" t="s">
        <v>970</v>
      </c>
    </row>
    <row r="1790" spans="1:3" ht="15">
      <c r="A1790" s="77" t="s">
        <v>280</v>
      </c>
      <c r="B1790" s="76" t="s">
        <v>2708</v>
      </c>
      <c r="C1790" s="80" t="s">
        <v>1001</v>
      </c>
    </row>
    <row r="1791" spans="1:3" ht="15">
      <c r="A1791" s="77" t="s">
        <v>280</v>
      </c>
      <c r="B1791" s="76" t="s">
        <v>3588</v>
      </c>
      <c r="C1791" s="80" t="s">
        <v>1001</v>
      </c>
    </row>
    <row r="1792" spans="1:3" ht="15">
      <c r="A1792" s="77" t="s">
        <v>280</v>
      </c>
      <c r="B1792" s="76" t="s">
        <v>3589</v>
      </c>
      <c r="C1792" s="80" t="s">
        <v>1001</v>
      </c>
    </row>
    <row r="1793" spans="1:3" ht="15">
      <c r="A1793" s="77" t="s">
        <v>280</v>
      </c>
      <c r="B1793" s="76" t="s">
        <v>2449</v>
      </c>
      <c r="C1793" s="80" t="s">
        <v>1001</v>
      </c>
    </row>
    <row r="1794" spans="1:3" ht="15">
      <c r="A1794" s="77" t="s">
        <v>280</v>
      </c>
      <c r="B1794" s="76" t="s">
        <v>3590</v>
      </c>
      <c r="C1794" s="80" t="s">
        <v>1001</v>
      </c>
    </row>
    <row r="1795" spans="1:3" ht="15">
      <c r="A1795" s="77" t="s">
        <v>280</v>
      </c>
      <c r="B1795" s="76" t="s">
        <v>2693</v>
      </c>
      <c r="C1795" s="80" t="s">
        <v>1001</v>
      </c>
    </row>
    <row r="1796" spans="1:3" ht="15">
      <c r="A1796" s="77" t="s">
        <v>280</v>
      </c>
      <c r="B1796" s="76" t="s">
        <v>3591</v>
      </c>
      <c r="C1796" s="80" t="s">
        <v>1001</v>
      </c>
    </row>
    <row r="1797" spans="1:3" ht="15">
      <c r="A1797" s="77" t="s">
        <v>280</v>
      </c>
      <c r="B1797" s="76" t="s">
        <v>2444</v>
      </c>
      <c r="C1797" s="80" t="s">
        <v>1001</v>
      </c>
    </row>
    <row r="1798" spans="1:3" ht="15">
      <c r="A1798" s="77" t="s">
        <v>280</v>
      </c>
      <c r="B1798" s="76" t="s">
        <v>3592</v>
      </c>
      <c r="C1798" s="80" t="s">
        <v>1001</v>
      </c>
    </row>
    <row r="1799" spans="1:3" ht="15">
      <c r="A1799" s="77" t="s">
        <v>280</v>
      </c>
      <c r="B1799" s="76" t="s">
        <v>2572</v>
      </c>
      <c r="C1799" s="80" t="s">
        <v>1001</v>
      </c>
    </row>
    <row r="1800" spans="1:3" ht="15">
      <c r="A1800" s="77" t="s">
        <v>280</v>
      </c>
      <c r="B1800" s="76" t="s">
        <v>3593</v>
      </c>
      <c r="C1800" s="80" t="s">
        <v>1001</v>
      </c>
    </row>
    <row r="1801" spans="1:3" ht="15">
      <c r="A1801" s="77" t="s">
        <v>280</v>
      </c>
      <c r="B1801" s="76" t="s">
        <v>2466</v>
      </c>
      <c r="C1801" s="80" t="s">
        <v>1001</v>
      </c>
    </row>
    <row r="1802" spans="1:3" ht="15">
      <c r="A1802" s="77" t="s">
        <v>280</v>
      </c>
      <c r="B1802" s="76" t="s">
        <v>2458</v>
      </c>
      <c r="C1802" s="80" t="s">
        <v>1001</v>
      </c>
    </row>
    <row r="1803" spans="1:3" ht="15">
      <c r="A1803" s="77" t="s">
        <v>280</v>
      </c>
      <c r="B1803" s="76" t="s">
        <v>3594</v>
      </c>
      <c r="C1803" s="80" t="s">
        <v>1001</v>
      </c>
    </row>
    <row r="1804" spans="1:3" ht="15">
      <c r="A1804" s="77" t="s">
        <v>280</v>
      </c>
      <c r="B1804" s="76" t="s">
        <v>2440</v>
      </c>
      <c r="C1804" s="80" t="s">
        <v>1001</v>
      </c>
    </row>
    <row r="1805" spans="1:3" ht="15">
      <c r="A1805" s="77" t="s">
        <v>280</v>
      </c>
      <c r="B1805" s="76" t="s">
        <v>2711</v>
      </c>
      <c r="C1805" s="80" t="s">
        <v>1001</v>
      </c>
    </row>
    <row r="1806" spans="1:3" ht="15">
      <c r="A1806" s="77" t="s">
        <v>280</v>
      </c>
      <c r="B1806" s="76" t="s">
        <v>3595</v>
      </c>
      <c r="C1806" s="80" t="s">
        <v>1001</v>
      </c>
    </row>
    <row r="1807" spans="1:3" ht="15">
      <c r="A1807" s="77" t="s">
        <v>248</v>
      </c>
      <c r="B1807" s="76" t="s">
        <v>364</v>
      </c>
      <c r="C1807" s="80" t="s">
        <v>969</v>
      </c>
    </row>
    <row r="1808" spans="1:3" ht="15">
      <c r="A1808" s="77" t="s">
        <v>248</v>
      </c>
      <c r="B1808" s="76" t="s">
        <v>2468</v>
      </c>
      <c r="C1808" s="80" t="s">
        <v>969</v>
      </c>
    </row>
    <row r="1809" spans="1:3" ht="15">
      <c r="A1809" s="77" t="s">
        <v>248</v>
      </c>
      <c r="B1809" s="76" t="s">
        <v>2651</v>
      </c>
      <c r="C1809" s="80" t="s">
        <v>969</v>
      </c>
    </row>
    <row r="1810" spans="1:3" ht="15">
      <c r="A1810" s="77" t="s">
        <v>248</v>
      </c>
      <c r="B1810" s="76" t="s">
        <v>2438</v>
      </c>
      <c r="C1810" s="80" t="s">
        <v>969</v>
      </c>
    </row>
    <row r="1811" spans="1:3" ht="15">
      <c r="A1811" s="77" t="s">
        <v>248</v>
      </c>
      <c r="B1811" s="76" t="s">
        <v>2587</v>
      </c>
      <c r="C1811" s="80" t="s">
        <v>969</v>
      </c>
    </row>
    <row r="1812" spans="1:3" ht="15">
      <c r="A1812" s="77" t="s">
        <v>248</v>
      </c>
      <c r="B1812" s="76" t="s">
        <v>3596</v>
      </c>
      <c r="C1812" s="80" t="s">
        <v>969</v>
      </c>
    </row>
    <row r="1813" spans="1:3" ht="15">
      <c r="A1813" s="77" t="s">
        <v>248</v>
      </c>
      <c r="B1813" s="76" t="s">
        <v>3597</v>
      </c>
      <c r="C1813" s="80" t="s">
        <v>969</v>
      </c>
    </row>
    <row r="1814" spans="1:3" ht="15">
      <c r="A1814" s="77" t="s">
        <v>248</v>
      </c>
      <c r="B1814" s="76" t="s">
        <v>3598</v>
      </c>
      <c r="C1814" s="80" t="s">
        <v>969</v>
      </c>
    </row>
    <row r="1815" spans="1:3" ht="15">
      <c r="A1815" s="77" t="s">
        <v>248</v>
      </c>
      <c r="B1815" s="76" t="s">
        <v>2772</v>
      </c>
      <c r="C1815" s="80" t="s">
        <v>969</v>
      </c>
    </row>
    <row r="1816" spans="1:3" ht="15">
      <c r="A1816" s="77" t="s">
        <v>248</v>
      </c>
      <c r="B1816" s="76" t="s">
        <v>2441</v>
      </c>
      <c r="C1816" s="80" t="s">
        <v>969</v>
      </c>
    </row>
    <row r="1817" spans="1:3" ht="15">
      <c r="A1817" s="77" t="s">
        <v>248</v>
      </c>
      <c r="B1817" s="76" t="s">
        <v>2583</v>
      </c>
      <c r="C1817" s="80" t="s">
        <v>969</v>
      </c>
    </row>
    <row r="1818" spans="1:3" ht="15">
      <c r="A1818" s="77" t="s">
        <v>248</v>
      </c>
      <c r="B1818" s="76" t="s">
        <v>3599</v>
      </c>
      <c r="C1818" s="80" t="s">
        <v>969</v>
      </c>
    </row>
    <row r="1819" spans="1:3" ht="15">
      <c r="A1819" s="77" t="s">
        <v>248</v>
      </c>
      <c r="B1819" s="76">
        <v>24</v>
      </c>
      <c r="C1819" s="80" t="s">
        <v>969</v>
      </c>
    </row>
    <row r="1820" spans="1:3" ht="15">
      <c r="A1820" s="77" t="s">
        <v>248</v>
      </c>
      <c r="B1820" s="76" t="s">
        <v>2445</v>
      </c>
      <c r="C1820" s="80" t="s">
        <v>969</v>
      </c>
    </row>
    <row r="1821" spans="1:3" ht="15">
      <c r="A1821" s="77" t="s">
        <v>315</v>
      </c>
      <c r="B1821" s="76" t="s">
        <v>2448</v>
      </c>
      <c r="C1821" s="80" t="s">
        <v>1049</v>
      </c>
    </row>
    <row r="1822" spans="1:3" ht="15">
      <c r="A1822" s="77" t="s">
        <v>315</v>
      </c>
      <c r="B1822" s="76" t="s">
        <v>2438</v>
      </c>
      <c r="C1822" s="80" t="s">
        <v>1049</v>
      </c>
    </row>
    <row r="1823" spans="1:3" ht="15">
      <c r="A1823" s="77" t="s">
        <v>315</v>
      </c>
      <c r="B1823" s="76" t="s">
        <v>3600</v>
      </c>
      <c r="C1823" s="80" t="s">
        <v>1049</v>
      </c>
    </row>
    <row r="1824" spans="1:3" ht="15">
      <c r="A1824" s="77" t="s">
        <v>315</v>
      </c>
      <c r="B1824" s="76" t="s">
        <v>2484</v>
      </c>
      <c r="C1824" s="80" t="s">
        <v>1049</v>
      </c>
    </row>
    <row r="1825" spans="1:3" ht="15">
      <c r="A1825" s="77" t="s">
        <v>315</v>
      </c>
      <c r="B1825" s="76" t="s">
        <v>2584</v>
      </c>
      <c r="C1825" s="80" t="s">
        <v>1049</v>
      </c>
    </row>
    <row r="1826" spans="1:3" ht="15">
      <c r="A1826" s="77" t="s">
        <v>315</v>
      </c>
      <c r="B1826" s="76" t="s">
        <v>2783</v>
      </c>
      <c r="C1826" s="80" t="s">
        <v>1049</v>
      </c>
    </row>
    <row r="1827" spans="1:3" ht="15">
      <c r="A1827" s="77" t="s">
        <v>315</v>
      </c>
      <c r="B1827" s="76" t="s">
        <v>2556</v>
      </c>
      <c r="C1827" s="80" t="s">
        <v>1049</v>
      </c>
    </row>
    <row r="1828" spans="1:3" ht="15">
      <c r="A1828" s="77" t="s">
        <v>315</v>
      </c>
      <c r="B1828" s="76" t="s">
        <v>2544</v>
      </c>
      <c r="C1828" s="80" t="s">
        <v>1049</v>
      </c>
    </row>
    <row r="1829" spans="1:3" ht="15">
      <c r="A1829" s="77" t="s">
        <v>315</v>
      </c>
      <c r="B1829" s="76" t="s">
        <v>2722</v>
      </c>
      <c r="C1829" s="80" t="s">
        <v>1049</v>
      </c>
    </row>
    <row r="1830" spans="1:3" ht="15">
      <c r="A1830" s="77" t="s">
        <v>315</v>
      </c>
      <c r="B1830" s="76" t="s">
        <v>3601</v>
      </c>
      <c r="C1830" s="80" t="s">
        <v>1049</v>
      </c>
    </row>
    <row r="1831" spans="1:3" ht="15">
      <c r="A1831" s="77" t="s">
        <v>315</v>
      </c>
      <c r="B1831" s="76" t="s">
        <v>2499</v>
      </c>
      <c r="C1831" s="80" t="s">
        <v>1049</v>
      </c>
    </row>
    <row r="1832" spans="1:3" ht="15">
      <c r="A1832" s="77" t="s">
        <v>315</v>
      </c>
      <c r="B1832" s="76" t="s">
        <v>3602</v>
      </c>
      <c r="C1832" s="80" t="s">
        <v>1049</v>
      </c>
    </row>
    <row r="1833" spans="1:3" ht="15">
      <c r="A1833" s="77" t="s">
        <v>315</v>
      </c>
      <c r="B1833" s="76" t="s">
        <v>2462</v>
      </c>
      <c r="C1833" s="80" t="s">
        <v>1049</v>
      </c>
    </row>
    <row r="1834" spans="1:3" ht="15">
      <c r="A1834" s="77" t="s">
        <v>315</v>
      </c>
      <c r="B1834" s="76" t="s">
        <v>2492</v>
      </c>
      <c r="C1834" s="80" t="s">
        <v>1049</v>
      </c>
    </row>
    <row r="1835" spans="1:3" ht="15">
      <c r="A1835" s="77" t="s">
        <v>315</v>
      </c>
      <c r="B1835" s="76" t="s">
        <v>415</v>
      </c>
      <c r="C1835" s="80" t="s">
        <v>1049</v>
      </c>
    </row>
    <row r="1836" spans="1:3" ht="15">
      <c r="A1836" s="77" t="s">
        <v>316</v>
      </c>
      <c r="B1836" s="76" t="s">
        <v>416</v>
      </c>
      <c r="C1836" s="80" t="s">
        <v>1050</v>
      </c>
    </row>
    <row r="1837" spans="1:3" ht="15">
      <c r="A1837" s="77" t="s">
        <v>316</v>
      </c>
      <c r="B1837" s="76" t="s">
        <v>2580</v>
      </c>
      <c r="C1837" s="80" t="s">
        <v>1050</v>
      </c>
    </row>
    <row r="1838" spans="1:3" ht="15">
      <c r="A1838" s="77" t="s">
        <v>316</v>
      </c>
      <c r="B1838" s="76" t="s">
        <v>3603</v>
      </c>
      <c r="C1838" s="80" t="s">
        <v>1050</v>
      </c>
    </row>
    <row r="1839" spans="1:3" ht="15">
      <c r="A1839" s="77" t="s">
        <v>316</v>
      </c>
      <c r="B1839" s="76" t="s">
        <v>2773</v>
      </c>
      <c r="C1839" s="80" t="s">
        <v>1050</v>
      </c>
    </row>
    <row r="1840" spans="1:3" ht="15">
      <c r="A1840" s="77" t="s">
        <v>316</v>
      </c>
      <c r="B1840" s="76" t="s">
        <v>3604</v>
      </c>
      <c r="C1840" s="80" t="s">
        <v>1050</v>
      </c>
    </row>
    <row r="1841" spans="1:3" ht="15">
      <c r="A1841" s="77" t="s">
        <v>316</v>
      </c>
      <c r="B1841" s="76" t="s">
        <v>3605</v>
      </c>
      <c r="C1841" s="80" t="s">
        <v>1050</v>
      </c>
    </row>
    <row r="1842" spans="1:3" ht="15">
      <c r="A1842" s="77" t="s">
        <v>316</v>
      </c>
      <c r="B1842" s="76" t="s">
        <v>2440</v>
      </c>
      <c r="C1842" s="80" t="s">
        <v>1050</v>
      </c>
    </row>
    <row r="1843" spans="1:3" ht="15">
      <c r="A1843" s="77" t="s">
        <v>316</v>
      </c>
      <c r="B1843" s="76" t="s">
        <v>3606</v>
      </c>
      <c r="C1843" s="80" t="s">
        <v>1050</v>
      </c>
    </row>
    <row r="1844" spans="1:3" ht="15">
      <c r="A1844" s="77" t="s">
        <v>316</v>
      </c>
      <c r="B1844" s="76" t="s">
        <v>3607</v>
      </c>
      <c r="C1844" s="80" t="s">
        <v>1050</v>
      </c>
    </row>
    <row r="1845" spans="1:3" ht="15">
      <c r="A1845" s="77" t="s">
        <v>316</v>
      </c>
      <c r="B1845" s="76" t="s">
        <v>3608</v>
      </c>
      <c r="C1845" s="80" t="s">
        <v>1050</v>
      </c>
    </row>
    <row r="1846" spans="1:3" ht="15">
      <c r="A1846" s="77" t="s">
        <v>316</v>
      </c>
      <c r="B1846" s="76" t="s">
        <v>3609</v>
      </c>
      <c r="C1846" s="80" t="s">
        <v>1050</v>
      </c>
    </row>
    <row r="1847" spans="1:3" ht="15">
      <c r="A1847" s="77" t="s">
        <v>316</v>
      </c>
      <c r="B1847" s="76" t="s">
        <v>2499</v>
      </c>
      <c r="C1847" s="80" t="s">
        <v>1050</v>
      </c>
    </row>
    <row r="1848" spans="1:3" ht="15">
      <c r="A1848" s="77" t="s">
        <v>316</v>
      </c>
      <c r="B1848" s="76" t="s">
        <v>3610</v>
      </c>
      <c r="C1848" s="80" t="s">
        <v>1050</v>
      </c>
    </row>
    <row r="1849" spans="1:3" ht="15">
      <c r="A1849" s="77" t="s">
        <v>316</v>
      </c>
      <c r="B1849" s="76" t="s">
        <v>3611</v>
      </c>
      <c r="C1849" s="80" t="s">
        <v>1050</v>
      </c>
    </row>
    <row r="1850" spans="1:3" ht="15">
      <c r="A1850" s="77" t="s">
        <v>316</v>
      </c>
      <c r="B1850" s="76" t="s">
        <v>3612</v>
      </c>
      <c r="C1850" s="80" t="s">
        <v>1050</v>
      </c>
    </row>
    <row r="1851" spans="1:3" ht="15">
      <c r="A1851" s="77" t="s">
        <v>316</v>
      </c>
      <c r="B1851" s="76" t="s">
        <v>2705</v>
      </c>
      <c r="C1851" s="80" t="s">
        <v>1050</v>
      </c>
    </row>
    <row r="1852" spans="1:3" ht="15">
      <c r="A1852" s="77" t="s">
        <v>316</v>
      </c>
      <c r="B1852" s="76" t="s">
        <v>3613</v>
      </c>
      <c r="C1852" s="80" t="s">
        <v>1050</v>
      </c>
    </row>
    <row r="1853" spans="1:3" ht="15">
      <c r="A1853" s="77" t="s">
        <v>316</v>
      </c>
      <c r="B1853" s="76" t="s">
        <v>3614</v>
      </c>
      <c r="C1853" s="80" t="s">
        <v>1050</v>
      </c>
    </row>
    <row r="1854" spans="1:3" ht="15">
      <c r="A1854" s="77" t="s">
        <v>316</v>
      </c>
      <c r="B1854" s="76" t="s">
        <v>2489</v>
      </c>
      <c r="C1854" s="80" t="s">
        <v>1050</v>
      </c>
    </row>
    <row r="1855" spans="1:3" ht="15">
      <c r="A1855" s="77" t="s">
        <v>316</v>
      </c>
      <c r="B1855" s="76" t="s">
        <v>2438</v>
      </c>
      <c r="C1855" s="80" t="s">
        <v>1050</v>
      </c>
    </row>
    <row r="1856" spans="1:3" ht="15">
      <c r="A1856" s="77" t="s">
        <v>316</v>
      </c>
      <c r="B1856" s="76" t="s">
        <v>3615</v>
      </c>
      <c r="C1856" s="80" t="s">
        <v>1050</v>
      </c>
    </row>
    <row r="1857" spans="1:3" ht="15">
      <c r="A1857" s="77" t="s">
        <v>316</v>
      </c>
      <c r="B1857" s="76" t="s">
        <v>2546</v>
      </c>
      <c r="C1857" s="80" t="s">
        <v>1050</v>
      </c>
    </row>
    <row r="1858" spans="1:3" ht="15">
      <c r="A1858" s="77" t="s">
        <v>316</v>
      </c>
      <c r="B1858" s="76" t="s">
        <v>3616</v>
      </c>
      <c r="C1858" s="80" t="s">
        <v>1050</v>
      </c>
    </row>
    <row r="1859" spans="1:3" ht="15">
      <c r="A1859" s="77" t="s">
        <v>316</v>
      </c>
      <c r="B1859" s="76" t="s">
        <v>2663</v>
      </c>
      <c r="C1859" s="80" t="s">
        <v>1050</v>
      </c>
    </row>
    <row r="1860" spans="1:3" ht="15">
      <c r="A1860" s="77" t="s">
        <v>316</v>
      </c>
      <c r="B1860" s="76" t="s">
        <v>3617</v>
      </c>
      <c r="C1860" s="80" t="s">
        <v>1050</v>
      </c>
    </row>
    <row r="1861" spans="1:3" ht="15">
      <c r="A1861" s="77" t="s">
        <v>316</v>
      </c>
      <c r="B1861" s="76" t="s">
        <v>3618</v>
      </c>
      <c r="C1861" s="80" t="s">
        <v>1050</v>
      </c>
    </row>
    <row r="1862" spans="1:3" ht="15">
      <c r="A1862" s="77" t="s">
        <v>316</v>
      </c>
      <c r="B1862" s="76" t="s">
        <v>3619</v>
      </c>
      <c r="C1862" s="80" t="s">
        <v>1050</v>
      </c>
    </row>
    <row r="1863" spans="1:3" ht="15">
      <c r="A1863" s="77" t="s">
        <v>316</v>
      </c>
      <c r="B1863" s="76" t="s">
        <v>376</v>
      </c>
      <c r="C1863" s="80" t="s">
        <v>1050</v>
      </c>
    </row>
    <row r="1864" spans="1:3" ht="15">
      <c r="A1864" s="77" t="s">
        <v>321</v>
      </c>
      <c r="B1864" s="76" t="s">
        <v>2438</v>
      </c>
      <c r="C1864" s="80" t="s">
        <v>1059</v>
      </c>
    </row>
    <row r="1865" spans="1:3" ht="15">
      <c r="A1865" s="77" t="s">
        <v>321</v>
      </c>
      <c r="B1865" s="76" t="s">
        <v>3620</v>
      </c>
      <c r="C1865" s="80" t="s">
        <v>1059</v>
      </c>
    </row>
    <row r="1866" spans="1:3" ht="15">
      <c r="A1866" s="77" t="s">
        <v>321</v>
      </c>
      <c r="B1866" s="76" t="s">
        <v>2448</v>
      </c>
      <c r="C1866" s="80" t="s">
        <v>1059</v>
      </c>
    </row>
    <row r="1867" spans="1:3" ht="15">
      <c r="A1867" s="77" t="s">
        <v>321</v>
      </c>
      <c r="B1867" s="76" t="s">
        <v>3621</v>
      </c>
      <c r="C1867" s="80" t="s">
        <v>1059</v>
      </c>
    </row>
    <row r="1868" spans="1:3" ht="15">
      <c r="A1868" s="77" t="s">
        <v>321</v>
      </c>
      <c r="B1868" s="76" t="s">
        <v>2791</v>
      </c>
      <c r="C1868" s="80" t="s">
        <v>1059</v>
      </c>
    </row>
    <row r="1869" spans="1:3" ht="15">
      <c r="A1869" s="77" t="s">
        <v>321</v>
      </c>
      <c r="B1869" s="76" t="s">
        <v>2458</v>
      </c>
      <c r="C1869" s="80" t="s">
        <v>1059</v>
      </c>
    </row>
    <row r="1870" spans="1:3" ht="15">
      <c r="A1870" s="77" t="s">
        <v>321</v>
      </c>
      <c r="B1870" s="76" t="s">
        <v>3622</v>
      </c>
      <c r="C1870" s="80" t="s">
        <v>1059</v>
      </c>
    </row>
    <row r="1871" spans="1:3" ht="15">
      <c r="A1871" s="77" t="s">
        <v>321</v>
      </c>
      <c r="B1871" s="76" t="s">
        <v>2482</v>
      </c>
      <c r="C1871" s="80" t="s">
        <v>1059</v>
      </c>
    </row>
    <row r="1872" spans="1:3" ht="15">
      <c r="A1872" s="77" t="s">
        <v>321</v>
      </c>
      <c r="B1872" s="76" t="s">
        <v>2570</v>
      </c>
      <c r="C1872" s="80" t="s">
        <v>1059</v>
      </c>
    </row>
    <row r="1873" spans="1:3" ht="15">
      <c r="A1873" s="77" t="s">
        <v>321</v>
      </c>
      <c r="B1873" s="76" t="s">
        <v>2510</v>
      </c>
      <c r="C1873" s="80" t="s">
        <v>1059</v>
      </c>
    </row>
    <row r="1874" spans="1:3" ht="15">
      <c r="A1874" s="77" t="s">
        <v>321</v>
      </c>
      <c r="B1874" s="76" t="s">
        <v>328</v>
      </c>
      <c r="C1874" s="80" t="s">
        <v>1059</v>
      </c>
    </row>
    <row r="1875" spans="1:3" ht="15">
      <c r="A1875" s="77" t="s">
        <v>332</v>
      </c>
      <c r="B1875" s="76" t="s">
        <v>3623</v>
      </c>
      <c r="C1875" s="80" t="s">
        <v>1072</v>
      </c>
    </row>
    <row r="1876" spans="1:3" ht="15">
      <c r="A1876" s="77" t="s">
        <v>332</v>
      </c>
      <c r="B1876" s="76" t="s">
        <v>3624</v>
      </c>
      <c r="C1876" s="80" t="s">
        <v>1072</v>
      </c>
    </row>
    <row r="1877" spans="1:3" ht="15">
      <c r="A1877" s="77" t="s">
        <v>332</v>
      </c>
      <c r="B1877" s="76" t="s">
        <v>3625</v>
      </c>
      <c r="C1877" s="80" t="s">
        <v>1072</v>
      </c>
    </row>
    <row r="1878" spans="1:3" ht="15">
      <c r="A1878" s="77" t="s">
        <v>332</v>
      </c>
      <c r="B1878" s="76" t="s">
        <v>3626</v>
      </c>
      <c r="C1878" s="80" t="s">
        <v>1072</v>
      </c>
    </row>
    <row r="1879" spans="1:3" ht="15">
      <c r="A1879" s="77" t="s">
        <v>332</v>
      </c>
      <c r="B1879" s="76" t="s">
        <v>3627</v>
      </c>
      <c r="C1879" s="80" t="s">
        <v>1072</v>
      </c>
    </row>
    <row r="1880" spans="1:3" ht="15">
      <c r="A1880" s="77" t="s">
        <v>332</v>
      </c>
      <c r="B1880" s="76" t="s">
        <v>2716</v>
      </c>
      <c r="C1880" s="80" t="s">
        <v>1072</v>
      </c>
    </row>
    <row r="1881" spans="1:3" ht="15">
      <c r="A1881" s="77" t="s">
        <v>332</v>
      </c>
      <c r="B1881" s="76" t="s">
        <v>2438</v>
      </c>
      <c r="C1881" s="80" t="s">
        <v>1072</v>
      </c>
    </row>
    <row r="1882" spans="1:3" ht="15">
      <c r="A1882" s="77" t="s">
        <v>332</v>
      </c>
      <c r="B1882" s="76" t="s">
        <v>2439</v>
      </c>
      <c r="C1882" s="80" t="s">
        <v>1072</v>
      </c>
    </row>
    <row r="1883" spans="1:3" ht="15">
      <c r="A1883" s="77" t="s">
        <v>332</v>
      </c>
      <c r="B1883" s="76" t="s">
        <v>3628</v>
      </c>
      <c r="C1883" s="80" t="s">
        <v>1072</v>
      </c>
    </row>
    <row r="1884" spans="1:3" ht="15">
      <c r="A1884" s="77" t="s">
        <v>332</v>
      </c>
      <c r="B1884" s="76" t="s">
        <v>2561</v>
      </c>
      <c r="C1884" s="80" t="s">
        <v>1072</v>
      </c>
    </row>
    <row r="1885" spans="1:3" ht="15">
      <c r="A1885" s="77" t="s">
        <v>332</v>
      </c>
      <c r="B1885" s="76" t="s">
        <v>3629</v>
      </c>
      <c r="C1885" s="80" t="s">
        <v>1072</v>
      </c>
    </row>
    <row r="1886" spans="1:3" ht="15">
      <c r="A1886" s="77" t="s">
        <v>332</v>
      </c>
      <c r="B1886" s="76" t="s">
        <v>3630</v>
      </c>
      <c r="C1886" s="80" t="s">
        <v>1072</v>
      </c>
    </row>
    <row r="1887" spans="1:3" ht="15">
      <c r="A1887" s="77" t="s">
        <v>332</v>
      </c>
      <c r="B1887" s="76" t="s">
        <v>2449</v>
      </c>
      <c r="C1887" s="80" t="s">
        <v>1072</v>
      </c>
    </row>
    <row r="1888" spans="1:3" ht="15">
      <c r="A1888" s="77" t="s">
        <v>332</v>
      </c>
      <c r="B1888" s="76" t="s">
        <v>2488</v>
      </c>
      <c r="C1888" s="80" t="s">
        <v>1072</v>
      </c>
    </row>
    <row r="1889" spans="1:3" ht="15">
      <c r="A1889" s="77" t="s">
        <v>332</v>
      </c>
      <c r="B1889" s="76" t="s">
        <v>2520</v>
      </c>
      <c r="C1889" s="80" t="s">
        <v>1072</v>
      </c>
    </row>
    <row r="1890" spans="1:3" ht="15">
      <c r="A1890" s="77" t="s">
        <v>332</v>
      </c>
      <c r="B1890" s="76">
        <v>27</v>
      </c>
      <c r="C1890" s="80" t="s">
        <v>1072</v>
      </c>
    </row>
    <row r="1891" spans="1:3" ht="15">
      <c r="A1891" s="77" t="s">
        <v>332</v>
      </c>
      <c r="B1891" s="76" t="s">
        <v>3631</v>
      </c>
      <c r="C1891" s="80" t="s">
        <v>1072</v>
      </c>
    </row>
    <row r="1892" spans="1:3" ht="15">
      <c r="A1892" s="77" t="s">
        <v>332</v>
      </c>
      <c r="B1892" s="76" t="s">
        <v>2483</v>
      </c>
      <c r="C1892" s="80" t="s">
        <v>1072</v>
      </c>
    </row>
    <row r="1893" spans="1:3" ht="15">
      <c r="A1893" s="77" t="s">
        <v>332</v>
      </c>
      <c r="B1893" s="76" t="s">
        <v>2509</v>
      </c>
      <c r="C1893" s="80" t="s">
        <v>1072</v>
      </c>
    </row>
    <row r="1894" spans="1:3" ht="15">
      <c r="A1894" s="77" t="s">
        <v>332</v>
      </c>
      <c r="B1894" s="76" t="s">
        <v>2581</v>
      </c>
      <c r="C1894" s="80" t="s">
        <v>1072</v>
      </c>
    </row>
    <row r="1895" spans="1:3" ht="15">
      <c r="A1895" s="77" t="s">
        <v>332</v>
      </c>
      <c r="B1895" s="76">
        <v>19</v>
      </c>
      <c r="C1895" s="80" t="s">
        <v>1072</v>
      </c>
    </row>
    <row r="1896" spans="1:3" ht="15">
      <c r="A1896" s="77" t="s">
        <v>332</v>
      </c>
      <c r="B1896" s="76" t="s">
        <v>432</v>
      </c>
      <c r="C1896" s="80" t="s">
        <v>1072</v>
      </c>
    </row>
    <row r="1897" spans="1:3" ht="15">
      <c r="A1897" s="77" t="s">
        <v>282</v>
      </c>
      <c r="B1897" s="76" t="s">
        <v>2694</v>
      </c>
      <c r="C1897" s="80" t="s">
        <v>1005</v>
      </c>
    </row>
    <row r="1898" spans="1:3" ht="15">
      <c r="A1898" s="77" t="s">
        <v>282</v>
      </c>
      <c r="B1898" s="76" t="s">
        <v>2531</v>
      </c>
      <c r="C1898" s="80" t="s">
        <v>1005</v>
      </c>
    </row>
    <row r="1899" spans="1:3" ht="15">
      <c r="A1899" s="77" t="s">
        <v>282</v>
      </c>
      <c r="B1899" s="76" t="s">
        <v>3632</v>
      </c>
      <c r="C1899" s="80" t="s">
        <v>1005</v>
      </c>
    </row>
    <row r="1900" spans="1:3" ht="15">
      <c r="A1900" s="77" t="s">
        <v>282</v>
      </c>
      <c r="B1900" s="76" t="s">
        <v>3633</v>
      </c>
      <c r="C1900" s="80" t="s">
        <v>1005</v>
      </c>
    </row>
    <row r="1901" spans="1:3" ht="15">
      <c r="A1901" s="77" t="s">
        <v>282</v>
      </c>
      <c r="B1901" s="76" t="s">
        <v>3634</v>
      </c>
      <c r="C1901" s="80" t="s">
        <v>1005</v>
      </c>
    </row>
    <row r="1902" spans="1:3" ht="15">
      <c r="A1902" s="77" t="s">
        <v>282</v>
      </c>
      <c r="B1902" s="76" t="s">
        <v>3635</v>
      </c>
      <c r="C1902" s="80" t="s">
        <v>1005</v>
      </c>
    </row>
    <row r="1903" spans="1:3" ht="15">
      <c r="A1903" s="77" t="s">
        <v>282</v>
      </c>
      <c r="B1903" s="76" t="s">
        <v>2559</v>
      </c>
      <c r="C1903" s="80" t="s">
        <v>1005</v>
      </c>
    </row>
    <row r="1904" spans="1:3" ht="15">
      <c r="A1904" s="77" t="s">
        <v>282</v>
      </c>
      <c r="B1904" s="76" t="s">
        <v>3636</v>
      </c>
      <c r="C1904" s="80" t="s">
        <v>1005</v>
      </c>
    </row>
    <row r="1905" spans="1:3" ht="15">
      <c r="A1905" s="77" t="s">
        <v>282</v>
      </c>
      <c r="B1905" s="76" t="s">
        <v>3637</v>
      </c>
      <c r="C1905" s="80" t="s">
        <v>1005</v>
      </c>
    </row>
    <row r="1906" spans="1:3" ht="15">
      <c r="A1906" s="77" t="s">
        <v>282</v>
      </c>
      <c r="B1906" s="76" t="s">
        <v>3638</v>
      </c>
      <c r="C1906" s="80" t="s">
        <v>1005</v>
      </c>
    </row>
    <row r="1907" spans="1:3" ht="15">
      <c r="A1907" s="77" t="s">
        <v>282</v>
      </c>
      <c r="B1907" s="76" t="s">
        <v>3639</v>
      </c>
      <c r="C1907" s="80" t="s">
        <v>1005</v>
      </c>
    </row>
    <row r="1908" spans="1:3" ht="15">
      <c r="A1908" s="77" t="s">
        <v>282</v>
      </c>
      <c r="B1908" s="76" t="s">
        <v>2438</v>
      </c>
      <c r="C1908" s="80" t="s">
        <v>1005</v>
      </c>
    </row>
    <row r="1909" spans="1:3" ht="15">
      <c r="A1909" s="77" t="s">
        <v>282</v>
      </c>
      <c r="B1909" s="76" t="s">
        <v>3640</v>
      </c>
      <c r="C1909" s="80" t="s">
        <v>1005</v>
      </c>
    </row>
    <row r="1910" spans="1:3" ht="15">
      <c r="A1910" s="77" t="s">
        <v>282</v>
      </c>
      <c r="B1910" s="76" t="s">
        <v>3641</v>
      </c>
      <c r="C1910" s="80" t="s">
        <v>1005</v>
      </c>
    </row>
    <row r="1911" spans="1:3" ht="15">
      <c r="A1911" s="77" t="s">
        <v>282</v>
      </c>
      <c r="B1911" s="76" t="s">
        <v>3642</v>
      </c>
      <c r="C1911" s="80" t="s">
        <v>1005</v>
      </c>
    </row>
    <row r="1912" spans="1:3" ht="15">
      <c r="A1912" s="77" t="s">
        <v>282</v>
      </c>
      <c r="B1912" s="76" t="s">
        <v>2774</v>
      </c>
      <c r="C1912" s="80" t="s">
        <v>1005</v>
      </c>
    </row>
    <row r="1913" spans="1:3" ht="15">
      <c r="A1913" s="77" t="s">
        <v>282</v>
      </c>
      <c r="B1913" s="76" t="s">
        <v>2444</v>
      </c>
      <c r="C1913" s="80" t="s">
        <v>1005</v>
      </c>
    </row>
    <row r="1914" spans="1:3" ht="15">
      <c r="A1914" s="77" t="s">
        <v>282</v>
      </c>
      <c r="B1914" s="76" t="s">
        <v>3643</v>
      </c>
      <c r="C1914" s="80" t="s">
        <v>1005</v>
      </c>
    </row>
    <row r="1915" spans="1:3" ht="15">
      <c r="A1915" s="77" t="s">
        <v>282</v>
      </c>
      <c r="B1915" s="76" t="s">
        <v>2719</v>
      </c>
      <c r="C1915" s="80" t="s">
        <v>1005</v>
      </c>
    </row>
    <row r="1916" spans="1:3" ht="15">
      <c r="A1916" s="77" t="s">
        <v>282</v>
      </c>
      <c r="B1916" s="76" t="s">
        <v>388</v>
      </c>
      <c r="C1916" s="80" t="s">
        <v>1005</v>
      </c>
    </row>
    <row r="1917" spans="1:3" ht="15">
      <c r="A1917" s="77" t="s">
        <v>241</v>
      </c>
      <c r="B1917" s="76" t="s">
        <v>3644</v>
      </c>
      <c r="C1917" s="80" t="s">
        <v>960</v>
      </c>
    </row>
    <row r="1918" spans="1:3" ht="15">
      <c r="A1918" s="77" t="s">
        <v>241</v>
      </c>
      <c r="B1918" s="76" t="s">
        <v>3645</v>
      </c>
      <c r="C1918" s="80" t="s">
        <v>960</v>
      </c>
    </row>
    <row r="1919" spans="1:3" ht="15">
      <c r="A1919" s="77" t="s">
        <v>241</v>
      </c>
      <c r="B1919" s="76" t="s">
        <v>3646</v>
      </c>
      <c r="C1919" s="80" t="s">
        <v>960</v>
      </c>
    </row>
    <row r="1920" spans="1:3" ht="15">
      <c r="A1920" s="77" t="s">
        <v>241</v>
      </c>
      <c r="B1920" s="76" t="s">
        <v>2768</v>
      </c>
      <c r="C1920" s="80" t="s">
        <v>960</v>
      </c>
    </row>
    <row r="1921" spans="1:3" ht="15">
      <c r="A1921" s="77" t="s">
        <v>241</v>
      </c>
      <c r="B1921" s="76" t="s">
        <v>3647</v>
      </c>
      <c r="C1921" s="80" t="s">
        <v>960</v>
      </c>
    </row>
    <row r="1922" spans="1:3" ht="15">
      <c r="A1922" s="77" t="s">
        <v>241</v>
      </c>
      <c r="B1922" s="76" t="s">
        <v>2511</v>
      </c>
      <c r="C1922" s="80" t="s">
        <v>960</v>
      </c>
    </row>
    <row r="1923" spans="1:3" ht="15">
      <c r="A1923" s="77" t="s">
        <v>241</v>
      </c>
      <c r="B1923" s="76" t="s">
        <v>2480</v>
      </c>
      <c r="C1923" s="80" t="s">
        <v>960</v>
      </c>
    </row>
    <row r="1924" spans="1:3" ht="15">
      <c r="A1924" s="77" t="s">
        <v>241</v>
      </c>
      <c r="B1924" s="76" t="s">
        <v>2459</v>
      </c>
      <c r="C1924" s="80" t="s">
        <v>960</v>
      </c>
    </row>
    <row r="1925" spans="1:3" ht="15">
      <c r="A1925" s="77" t="s">
        <v>241</v>
      </c>
      <c r="B1925" s="76" t="s">
        <v>3648</v>
      </c>
      <c r="C1925" s="80" t="s">
        <v>960</v>
      </c>
    </row>
    <row r="1926" spans="1:3" ht="15">
      <c r="A1926" s="77" t="s">
        <v>241</v>
      </c>
      <c r="B1926" s="76" t="s">
        <v>2438</v>
      </c>
      <c r="C1926" s="80" t="s">
        <v>960</v>
      </c>
    </row>
    <row r="1927" spans="1:3" ht="15">
      <c r="A1927" s="77" t="s">
        <v>241</v>
      </c>
      <c r="B1927" s="76" t="s">
        <v>2439</v>
      </c>
      <c r="C1927" s="80" t="s">
        <v>960</v>
      </c>
    </row>
    <row r="1928" spans="1:3" ht="15">
      <c r="A1928" s="77" t="s">
        <v>241</v>
      </c>
      <c r="B1928" s="76" t="s">
        <v>2464</v>
      </c>
      <c r="C1928" s="80" t="s">
        <v>960</v>
      </c>
    </row>
    <row r="1929" spans="1:3" ht="15">
      <c r="A1929" s="77" t="s">
        <v>241</v>
      </c>
      <c r="B1929" s="76" t="s">
        <v>3649</v>
      </c>
      <c r="C1929" s="80" t="s">
        <v>960</v>
      </c>
    </row>
    <row r="1930" spans="1:3" ht="15">
      <c r="A1930" s="77" t="s">
        <v>241</v>
      </c>
      <c r="B1930" s="76" t="s">
        <v>2463</v>
      </c>
      <c r="C1930" s="80" t="s">
        <v>960</v>
      </c>
    </row>
    <row r="1931" spans="1:3" ht="15">
      <c r="A1931" s="77" t="s">
        <v>241</v>
      </c>
      <c r="B1931" s="76" t="s">
        <v>3650</v>
      </c>
      <c r="C1931" s="80" t="s">
        <v>960</v>
      </c>
    </row>
    <row r="1932" spans="1:3" ht="15">
      <c r="A1932" s="77" t="s">
        <v>241</v>
      </c>
      <c r="B1932" s="76">
        <v>0</v>
      </c>
      <c r="C1932" s="80" t="s">
        <v>960</v>
      </c>
    </row>
    <row r="1933" spans="1:3" ht="15">
      <c r="A1933" s="77" t="s">
        <v>241</v>
      </c>
      <c r="B1933" s="76">
        <v>130</v>
      </c>
      <c r="C1933" s="80" t="s">
        <v>960</v>
      </c>
    </row>
    <row r="1934" spans="1:3" ht="15">
      <c r="A1934" s="77" t="s">
        <v>241</v>
      </c>
      <c r="B1934" s="76" t="s">
        <v>3651</v>
      </c>
      <c r="C1934" s="80" t="s">
        <v>960</v>
      </c>
    </row>
    <row r="1935" spans="1:3" ht="15">
      <c r="A1935" s="77" t="s">
        <v>241</v>
      </c>
      <c r="B1935" s="76" t="s">
        <v>3652</v>
      </c>
      <c r="C1935" s="80" t="s">
        <v>960</v>
      </c>
    </row>
    <row r="1936" spans="1:3" ht="15">
      <c r="A1936" s="77" t="s">
        <v>241</v>
      </c>
      <c r="B1936" s="76" t="s">
        <v>2665</v>
      </c>
      <c r="C1936" s="80" t="s">
        <v>960</v>
      </c>
    </row>
    <row r="1937" spans="1:3" ht="15">
      <c r="A1937" s="77" t="s">
        <v>241</v>
      </c>
      <c r="B1937" s="76" t="s">
        <v>356</v>
      </c>
      <c r="C1937" s="80" t="s">
        <v>960</v>
      </c>
    </row>
    <row r="1938" spans="1:3" ht="15">
      <c r="A1938" s="77" t="s">
        <v>241</v>
      </c>
      <c r="B1938" s="76" t="s">
        <v>357</v>
      </c>
      <c r="C1938" s="80" t="s">
        <v>960</v>
      </c>
    </row>
    <row r="1939" spans="1:3" ht="15">
      <c r="A1939" s="77" t="s">
        <v>284</v>
      </c>
      <c r="B1939" s="76" t="s">
        <v>2598</v>
      </c>
      <c r="C1939" s="80" t="s">
        <v>1007</v>
      </c>
    </row>
    <row r="1940" spans="1:3" ht="15">
      <c r="A1940" s="77" t="s">
        <v>284</v>
      </c>
      <c r="B1940" s="76" t="s">
        <v>3653</v>
      </c>
      <c r="C1940" s="80" t="s">
        <v>1007</v>
      </c>
    </row>
    <row r="1941" spans="1:3" ht="15">
      <c r="A1941" s="77" t="s">
        <v>284</v>
      </c>
      <c r="B1941" s="76" t="s">
        <v>2468</v>
      </c>
      <c r="C1941" s="80" t="s">
        <v>1007</v>
      </c>
    </row>
    <row r="1942" spans="1:3" ht="15">
      <c r="A1942" s="77" t="s">
        <v>284</v>
      </c>
      <c r="B1942" s="76" t="s">
        <v>3654</v>
      </c>
      <c r="C1942" s="80" t="s">
        <v>1007</v>
      </c>
    </row>
    <row r="1943" spans="1:3" ht="15">
      <c r="A1943" s="77" t="s">
        <v>284</v>
      </c>
      <c r="B1943" s="76">
        <v>0</v>
      </c>
      <c r="C1943" s="80" t="s">
        <v>1007</v>
      </c>
    </row>
    <row r="1944" spans="1:3" ht="15">
      <c r="A1944" s="77" t="s">
        <v>284</v>
      </c>
      <c r="B1944" s="76">
        <v>25</v>
      </c>
      <c r="C1944" s="80" t="s">
        <v>1007</v>
      </c>
    </row>
    <row r="1945" spans="1:3" ht="15">
      <c r="A1945" s="77" t="s">
        <v>284</v>
      </c>
      <c r="B1945" s="76" t="s">
        <v>2496</v>
      </c>
      <c r="C1945" s="80" t="s">
        <v>1007</v>
      </c>
    </row>
    <row r="1946" spans="1:3" ht="15">
      <c r="A1946" s="77" t="s">
        <v>284</v>
      </c>
      <c r="B1946" s="76" t="s">
        <v>2441</v>
      </c>
      <c r="C1946" s="80" t="s">
        <v>1007</v>
      </c>
    </row>
    <row r="1947" spans="1:3" ht="15">
      <c r="A1947" s="77" t="s">
        <v>284</v>
      </c>
      <c r="B1947" s="76" t="s">
        <v>2438</v>
      </c>
      <c r="C1947" s="80" t="s">
        <v>1007</v>
      </c>
    </row>
    <row r="1948" spans="1:3" ht="15">
      <c r="A1948" s="77" t="s">
        <v>284</v>
      </c>
      <c r="B1948" s="76" t="s">
        <v>2439</v>
      </c>
      <c r="C1948" s="80" t="s">
        <v>1007</v>
      </c>
    </row>
    <row r="1949" spans="1:3" ht="15">
      <c r="A1949" s="77" t="s">
        <v>284</v>
      </c>
      <c r="B1949" s="76" t="s">
        <v>2481</v>
      </c>
      <c r="C1949" s="80" t="s">
        <v>1007</v>
      </c>
    </row>
    <row r="1950" spans="1:3" ht="15">
      <c r="A1950" s="77" t="s">
        <v>257</v>
      </c>
      <c r="B1950" s="76" t="s">
        <v>2577</v>
      </c>
      <c r="C1950" s="80" t="s">
        <v>978</v>
      </c>
    </row>
    <row r="1951" spans="1:3" ht="15">
      <c r="A1951" s="77" t="s">
        <v>257</v>
      </c>
      <c r="B1951" s="76" t="s">
        <v>2488</v>
      </c>
      <c r="C1951" s="80" t="s">
        <v>978</v>
      </c>
    </row>
    <row r="1952" spans="1:3" ht="15">
      <c r="A1952" s="77" t="s">
        <v>257</v>
      </c>
      <c r="B1952" s="76" t="s">
        <v>3655</v>
      </c>
      <c r="C1952" s="80" t="s">
        <v>978</v>
      </c>
    </row>
    <row r="1953" spans="1:3" ht="15">
      <c r="A1953" s="77" t="s">
        <v>257</v>
      </c>
      <c r="B1953" s="76" t="s">
        <v>3656</v>
      </c>
      <c r="C1953" s="80" t="s">
        <v>978</v>
      </c>
    </row>
    <row r="1954" spans="1:3" ht="15">
      <c r="A1954" s="77" t="s">
        <v>257</v>
      </c>
      <c r="B1954" s="76" t="s">
        <v>372</v>
      </c>
      <c r="C1954" s="80" t="s">
        <v>978</v>
      </c>
    </row>
    <row r="1955" spans="1:3" ht="15">
      <c r="A1955" s="77" t="s">
        <v>257</v>
      </c>
      <c r="B1955" s="76" t="s">
        <v>373</v>
      </c>
      <c r="C1955" s="80" t="s">
        <v>978</v>
      </c>
    </row>
    <row r="1956" spans="1:3" ht="15">
      <c r="A1956" s="77" t="s">
        <v>257</v>
      </c>
      <c r="B1956" s="76" t="s">
        <v>374</v>
      </c>
      <c r="C1956" s="80" t="s">
        <v>978</v>
      </c>
    </row>
    <row r="1957" spans="1:3" ht="15">
      <c r="A1957" s="77" t="s">
        <v>267</v>
      </c>
      <c r="B1957" s="76" t="s">
        <v>378</v>
      </c>
      <c r="C1957" s="80" t="s">
        <v>988</v>
      </c>
    </row>
    <row r="1958" spans="1:3" ht="15">
      <c r="A1958" s="77" t="s">
        <v>267</v>
      </c>
      <c r="B1958" s="76" t="s">
        <v>3657</v>
      </c>
      <c r="C1958" s="80" t="s">
        <v>988</v>
      </c>
    </row>
    <row r="1959" spans="1:3" ht="15">
      <c r="A1959" s="77" t="s">
        <v>267</v>
      </c>
      <c r="B1959" s="76" t="s">
        <v>2681</v>
      </c>
      <c r="C1959" s="80" t="s">
        <v>988</v>
      </c>
    </row>
    <row r="1960" spans="1:3" ht="15">
      <c r="A1960" s="77" t="s">
        <v>267</v>
      </c>
      <c r="B1960" s="76" t="s">
        <v>3658</v>
      </c>
      <c r="C1960" s="80" t="s">
        <v>988</v>
      </c>
    </row>
    <row r="1961" spans="1:3" ht="15">
      <c r="A1961" s="77" t="s">
        <v>267</v>
      </c>
      <c r="B1961" s="76" t="s">
        <v>3659</v>
      </c>
      <c r="C1961" s="80" t="s">
        <v>988</v>
      </c>
    </row>
    <row r="1962" spans="1:3" ht="15">
      <c r="A1962" s="77" t="s">
        <v>267</v>
      </c>
      <c r="B1962" s="76" t="s">
        <v>3660</v>
      </c>
      <c r="C1962" s="80" t="s">
        <v>988</v>
      </c>
    </row>
    <row r="1963" spans="1:3" ht="15">
      <c r="A1963" s="77" t="s">
        <v>267</v>
      </c>
      <c r="B1963" s="76" t="s">
        <v>2692</v>
      </c>
      <c r="C1963" s="80" t="s">
        <v>988</v>
      </c>
    </row>
    <row r="1964" spans="1:3" ht="15">
      <c r="A1964" s="77" t="s">
        <v>267</v>
      </c>
      <c r="B1964" s="76" t="s">
        <v>2589</v>
      </c>
      <c r="C1964" s="80" t="s">
        <v>988</v>
      </c>
    </row>
    <row r="1965" spans="1:3" ht="15">
      <c r="A1965" s="77" t="s">
        <v>267</v>
      </c>
      <c r="B1965" s="76" t="s">
        <v>2438</v>
      </c>
      <c r="C1965" s="80" t="s">
        <v>988</v>
      </c>
    </row>
    <row r="1966" spans="1:3" ht="15">
      <c r="A1966" s="77" t="s">
        <v>267</v>
      </c>
      <c r="B1966" s="76" t="s">
        <v>2447</v>
      </c>
      <c r="C1966" s="80" t="s">
        <v>988</v>
      </c>
    </row>
    <row r="1967" spans="1:3" ht="15">
      <c r="A1967" s="77" t="s">
        <v>267</v>
      </c>
      <c r="B1967" s="76" t="s">
        <v>2716</v>
      </c>
      <c r="C1967" s="80" t="s">
        <v>988</v>
      </c>
    </row>
    <row r="1968" spans="1:3" ht="15">
      <c r="A1968" s="77" t="s">
        <v>243</v>
      </c>
      <c r="B1968" s="76" t="s">
        <v>2450</v>
      </c>
      <c r="C1968" s="80" t="s">
        <v>963</v>
      </c>
    </row>
    <row r="1969" spans="1:3" ht="15">
      <c r="A1969" s="77" t="s">
        <v>243</v>
      </c>
      <c r="B1969" s="76" t="s">
        <v>3661</v>
      </c>
      <c r="C1969" s="80" t="s">
        <v>963</v>
      </c>
    </row>
    <row r="1970" spans="1:3" ht="15">
      <c r="A1970" s="77" t="s">
        <v>243</v>
      </c>
      <c r="B1970" s="76" t="s">
        <v>3662</v>
      </c>
      <c r="C1970" s="80" t="s">
        <v>963</v>
      </c>
    </row>
    <row r="1971" spans="1:3" ht="15">
      <c r="A1971" s="77" t="s">
        <v>243</v>
      </c>
      <c r="B1971" s="76" t="s">
        <v>2626</v>
      </c>
      <c r="C1971" s="80" t="s">
        <v>963</v>
      </c>
    </row>
    <row r="1972" spans="1:3" ht="15">
      <c r="A1972" s="77" t="s">
        <v>243</v>
      </c>
      <c r="B1972" s="76" t="s">
        <v>585</v>
      </c>
      <c r="C1972" s="80" t="s">
        <v>963</v>
      </c>
    </row>
    <row r="1973" spans="1:3" ht="15">
      <c r="A1973" s="77" t="s">
        <v>243</v>
      </c>
      <c r="B1973" s="76" t="s">
        <v>3663</v>
      </c>
      <c r="C1973" s="80" t="s">
        <v>963</v>
      </c>
    </row>
    <row r="1974" spans="1:3" ht="15">
      <c r="A1974" s="77" t="s">
        <v>243</v>
      </c>
      <c r="B1974" s="76" t="s">
        <v>2438</v>
      </c>
      <c r="C1974" s="80" t="s">
        <v>963</v>
      </c>
    </row>
    <row r="1975" spans="1:3" ht="15">
      <c r="A1975" s="77" t="s">
        <v>243</v>
      </c>
      <c r="B1975" s="76" t="s">
        <v>2439</v>
      </c>
      <c r="C1975" s="80" t="s">
        <v>963</v>
      </c>
    </row>
    <row r="1976" spans="1:3" ht="15">
      <c r="A1976" s="77" t="s">
        <v>243</v>
      </c>
      <c r="B1976" s="76" t="s">
        <v>2441</v>
      </c>
      <c r="C1976" s="80" t="s">
        <v>963</v>
      </c>
    </row>
    <row r="1977" spans="1:3" ht="15">
      <c r="A1977" s="77" t="s">
        <v>243</v>
      </c>
      <c r="B1977" s="76" t="s">
        <v>2519</v>
      </c>
      <c r="C1977" s="80" t="s">
        <v>963</v>
      </c>
    </row>
    <row r="1978" spans="1:3" ht="15">
      <c r="A1978" s="77" t="s">
        <v>243</v>
      </c>
      <c r="B1978" s="76" t="s">
        <v>2619</v>
      </c>
      <c r="C1978" s="80" t="s">
        <v>963</v>
      </c>
    </row>
    <row r="1979" spans="1:3" ht="15">
      <c r="A1979" s="77" t="s">
        <v>243</v>
      </c>
      <c r="B1979" s="76" t="s">
        <v>3664</v>
      </c>
      <c r="C1979" s="80" t="s">
        <v>963</v>
      </c>
    </row>
    <row r="1980" spans="1:3" ht="15">
      <c r="A1980" s="77" t="s">
        <v>315</v>
      </c>
      <c r="B1980" s="76" t="s">
        <v>3665</v>
      </c>
      <c r="C1980" s="80" t="s">
        <v>1048</v>
      </c>
    </row>
    <row r="1981" spans="1:3" ht="15">
      <c r="A1981" s="77" t="s">
        <v>315</v>
      </c>
      <c r="B1981" s="76" t="s">
        <v>3666</v>
      </c>
      <c r="C1981" s="80" t="s">
        <v>1048</v>
      </c>
    </row>
    <row r="1982" spans="1:3" ht="15">
      <c r="A1982" s="77" t="s">
        <v>315</v>
      </c>
      <c r="B1982" s="76" t="s">
        <v>2526</v>
      </c>
      <c r="C1982" s="80" t="s">
        <v>1048</v>
      </c>
    </row>
    <row r="1983" spans="1:3" ht="15">
      <c r="A1983" s="77" t="s">
        <v>315</v>
      </c>
      <c r="B1983" s="76" t="s">
        <v>3667</v>
      </c>
      <c r="C1983" s="80" t="s">
        <v>1048</v>
      </c>
    </row>
    <row r="1984" spans="1:3" ht="15">
      <c r="A1984" s="77" t="s">
        <v>315</v>
      </c>
      <c r="B1984" s="76" t="s">
        <v>2658</v>
      </c>
      <c r="C1984" s="80" t="s">
        <v>1048</v>
      </c>
    </row>
    <row r="1985" spans="1:3" ht="15">
      <c r="A1985" s="77" t="s">
        <v>315</v>
      </c>
      <c r="B1985" s="76" t="s">
        <v>3668</v>
      </c>
      <c r="C1985" s="80" t="s">
        <v>1048</v>
      </c>
    </row>
    <row r="1986" spans="1:3" ht="15">
      <c r="A1986" s="77" t="s">
        <v>315</v>
      </c>
      <c r="B1986" s="76" t="s">
        <v>2448</v>
      </c>
      <c r="C1986" s="80" t="s">
        <v>1048</v>
      </c>
    </row>
    <row r="1987" spans="1:3" ht="15">
      <c r="A1987" s="77" t="s">
        <v>315</v>
      </c>
      <c r="B1987" s="76" t="s">
        <v>3669</v>
      </c>
      <c r="C1987" s="80" t="s">
        <v>1048</v>
      </c>
    </row>
    <row r="1988" spans="1:3" ht="15">
      <c r="A1988" s="77" t="s">
        <v>315</v>
      </c>
      <c r="B1988" s="76" t="s">
        <v>2514</v>
      </c>
      <c r="C1988" s="80" t="s">
        <v>1048</v>
      </c>
    </row>
    <row r="1989" spans="1:3" ht="15">
      <c r="A1989" s="77" t="s">
        <v>315</v>
      </c>
      <c r="B1989" s="76" t="s">
        <v>2438</v>
      </c>
      <c r="C1989" s="80" t="s">
        <v>1048</v>
      </c>
    </row>
    <row r="1990" spans="1:3" ht="15">
      <c r="A1990" s="77" t="s">
        <v>315</v>
      </c>
      <c r="B1990" s="76" t="s">
        <v>2459</v>
      </c>
      <c r="C1990" s="80" t="s">
        <v>1048</v>
      </c>
    </row>
    <row r="1991" spans="1:3" ht="15">
      <c r="A1991" s="77" t="s">
        <v>315</v>
      </c>
      <c r="B1991" s="76" t="s">
        <v>2783</v>
      </c>
      <c r="C1991" s="80" t="s">
        <v>1048</v>
      </c>
    </row>
    <row r="1992" spans="1:3" ht="15">
      <c r="A1992" s="77" t="s">
        <v>315</v>
      </c>
      <c r="B1992" s="76" t="s">
        <v>3670</v>
      </c>
      <c r="C1992" s="80" t="s">
        <v>1048</v>
      </c>
    </row>
    <row r="1993" spans="1:3" ht="15">
      <c r="A1993" s="77" t="s">
        <v>315</v>
      </c>
      <c r="B1993" s="76" t="s">
        <v>2786</v>
      </c>
      <c r="C1993" s="80" t="s">
        <v>1048</v>
      </c>
    </row>
    <row r="1994" spans="1:3" ht="15">
      <c r="A1994" s="77" t="s">
        <v>315</v>
      </c>
      <c r="B1994" s="76" t="s">
        <v>2627</v>
      </c>
      <c r="C1994" s="80" t="s">
        <v>1048</v>
      </c>
    </row>
    <row r="1995" spans="1:3" ht="15">
      <c r="A1995" s="77" t="s">
        <v>315</v>
      </c>
      <c r="B1995" s="76" t="s">
        <v>2484</v>
      </c>
      <c r="C1995" s="80" t="s">
        <v>1048</v>
      </c>
    </row>
    <row r="1996" spans="1:3" ht="15">
      <c r="A1996" s="77" t="s">
        <v>315</v>
      </c>
      <c r="B1996" s="76" t="s">
        <v>2584</v>
      </c>
      <c r="C1996" s="80" t="s">
        <v>1048</v>
      </c>
    </row>
    <row r="1997" spans="1:3" ht="15">
      <c r="A1997" s="77" t="s">
        <v>315</v>
      </c>
      <c r="B1997" s="76" t="s">
        <v>3671</v>
      </c>
      <c r="C1997" s="80" t="s">
        <v>1048</v>
      </c>
    </row>
    <row r="1998" spans="1:3" ht="15">
      <c r="A1998" s="77" t="s">
        <v>315</v>
      </c>
      <c r="B1998" s="76" t="s">
        <v>2482</v>
      </c>
      <c r="C1998" s="80" t="s">
        <v>1048</v>
      </c>
    </row>
    <row r="1999" spans="1:3" ht="15">
      <c r="A1999" s="77" t="s">
        <v>315</v>
      </c>
      <c r="B1999" s="76" t="s">
        <v>3672</v>
      </c>
      <c r="C1999" s="80" t="s">
        <v>1048</v>
      </c>
    </row>
    <row r="2000" spans="1:3" ht="15">
      <c r="A2000" s="77" t="s">
        <v>315</v>
      </c>
      <c r="B2000" s="76" t="s">
        <v>2475</v>
      </c>
      <c r="C2000" s="80" t="s">
        <v>1048</v>
      </c>
    </row>
    <row r="2001" spans="1:3" ht="15">
      <c r="A2001" s="77" t="s">
        <v>315</v>
      </c>
      <c r="B2001" s="76" t="s">
        <v>415</v>
      </c>
      <c r="C2001" s="80" t="s">
        <v>1048</v>
      </c>
    </row>
    <row r="2002" spans="1:3" ht="15">
      <c r="A2002" s="77" t="s">
        <v>289</v>
      </c>
      <c r="B2002" s="76" t="s">
        <v>2724</v>
      </c>
      <c r="C2002" s="80" t="s">
        <v>1014</v>
      </c>
    </row>
    <row r="2003" spans="1:3" ht="15">
      <c r="A2003" s="77" t="s">
        <v>289</v>
      </c>
      <c r="B2003" s="76" t="s">
        <v>3673</v>
      </c>
      <c r="C2003" s="80" t="s">
        <v>1014</v>
      </c>
    </row>
    <row r="2004" spans="1:3" ht="15">
      <c r="A2004" s="77" t="s">
        <v>289</v>
      </c>
      <c r="B2004" s="76" t="s">
        <v>672</v>
      </c>
      <c r="C2004" s="80" t="s">
        <v>1014</v>
      </c>
    </row>
    <row r="2005" spans="1:3" ht="15">
      <c r="A2005" s="77" t="s">
        <v>289</v>
      </c>
      <c r="B2005" s="76" t="s">
        <v>3674</v>
      </c>
      <c r="C2005" s="80" t="s">
        <v>1014</v>
      </c>
    </row>
    <row r="2006" spans="1:3" ht="15">
      <c r="A2006" s="77" t="s">
        <v>289</v>
      </c>
      <c r="B2006" s="76" t="s">
        <v>2537</v>
      </c>
      <c r="C2006" s="80" t="s">
        <v>1014</v>
      </c>
    </row>
    <row r="2007" spans="1:3" ht="15">
      <c r="A2007" s="77" t="s">
        <v>289</v>
      </c>
      <c r="B2007" s="76" t="s">
        <v>2456</v>
      </c>
      <c r="C2007" s="80" t="s">
        <v>1014</v>
      </c>
    </row>
    <row r="2008" spans="1:3" ht="15">
      <c r="A2008" s="77" t="s">
        <v>289</v>
      </c>
      <c r="B2008" s="76" t="s">
        <v>3675</v>
      </c>
      <c r="C2008" s="80" t="s">
        <v>1014</v>
      </c>
    </row>
    <row r="2009" spans="1:3" ht="15">
      <c r="A2009" s="77" t="s">
        <v>289</v>
      </c>
      <c r="B2009" s="76" t="s">
        <v>3676</v>
      </c>
      <c r="C2009" s="80" t="s">
        <v>1014</v>
      </c>
    </row>
    <row r="2010" spans="1:3" ht="15">
      <c r="A2010" s="77" t="s">
        <v>289</v>
      </c>
      <c r="B2010" s="76" t="s">
        <v>2542</v>
      </c>
      <c r="C2010" s="80" t="s">
        <v>1014</v>
      </c>
    </row>
    <row r="2011" spans="1:3" ht="15">
      <c r="A2011" s="77" t="s">
        <v>289</v>
      </c>
      <c r="B2011" s="76" t="s">
        <v>2521</v>
      </c>
      <c r="C2011" s="80" t="s">
        <v>1014</v>
      </c>
    </row>
    <row r="2012" spans="1:3" ht="15">
      <c r="A2012" s="77" t="s">
        <v>289</v>
      </c>
      <c r="B2012" s="76" t="s">
        <v>2454</v>
      </c>
      <c r="C2012" s="80" t="s">
        <v>1014</v>
      </c>
    </row>
    <row r="2013" spans="1:3" ht="15">
      <c r="A2013" s="77" t="s">
        <v>289</v>
      </c>
      <c r="B2013" s="76">
        <v>36</v>
      </c>
      <c r="C2013" s="80" t="s">
        <v>1014</v>
      </c>
    </row>
    <row r="2014" spans="1:3" ht="15">
      <c r="A2014" s="77" t="s">
        <v>289</v>
      </c>
      <c r="B2014" s="76" t="s">
        <v>2472</v>
      </c>
      <c r="C2014" s="80" t="s">
        <v>1014</v>
      </c>
    </row>
    <row r="2015" spans="1:3" ht="15">
      <c r="A2015" s="77" t="s">
        <v>289</v>
      </c>
      <c r="B2015" s="76" t="s">
        <v>2461</v>
      </c>
      <c r="C2015" s="80" t="s">
        <v>1014</v>
      </c>
    </row>
    <row r="2016" spans="1:3" ht="15">
      <c r="A2016" s="77" t="s">
        <v>289</v>
      </c>
      <c r="B2016" s="76" t="s">
        <v>2671</v>
      </c>
      <c r="C2016" s="80" t="s">
        <v>1014</v>
      </c>
    </row>
    <row r="2017" spans="1:3" ht="15">
      <c r="A2017" s="77" t="s">
        <v>289</v>
      </c>
      <c r="B2017" s="76" t="s">
        <v>2598</v>
      </c>
      <c r="C2017" s="80" t="s">
        <v>1014</v>
      </c>
    </row>
    <row r="2018" spans="1:3" ht="15">
      <c r="A2018" s="77" t="s">
        <v>289</v>
      </c>
      <c r="B2018" s="76" t="s">
        <v>3677</v>
      </c>
      <c r="C2018" s="80" t="s">
        <v>1014</v>
      </c>
    </row>
    <row r="2019" spans="1:3" ht="15">
      <c r="A2019" s="77" t="s">
        <v>289</v>
      </c>
      <c r="B2019" s="76" t="s">
        <v>3678</v>
      </c>
      <c r="C2019" s="80" t="s">
        <v>1014</v>
      </c>
    </row>
    <row r="2020" spans="1:3" ht="15">
      <c r="A2020" s="77" t="s">
        <v>289</v>
      </c>
      <c r="B2020" s="76" t="s">
        <v>2444</v>
      </c>
      <c r="C2020" s="80" t="s">
        <v>1014</v>
      </c>
    </row>
    <row r="2021" spans="1:3" ht="15">
      <c r="A2021" s="77" t="s">
        <v>264</v>
      </c>
      <c r="B2021" s="76" t="s">
        <v>3679</v>
      </c>
      <c r="C2021" s="80" t="s">
        <v>985</v>
      </c>
    </row>
    <row r="2022" spans="1:3" ht="15">
      <c r="A2022" s="77" t="s">
        <v>264</v>
      </c>
      <c r="B2022" s="76" t="s">
        <v>3680</v>
      </c>
      <c r="C2022" s="80" t="s">
        <v>985</v>
      </c>
    </row>
    <row r="2023" spans="1:3" ht="15">
      <c r="A2023" s="77" t="s">
        <v>264</v>
      </c>
      <c r="B2023" s="76" t="s">
        <v>3681</v>
      </c>
      <c r="C2023" s="80" t="s">
        <v>985</v>
      </c>
    </row>
    <row r="2024" spans="1:3" ht="15">
      <c r="A2024" s="77" t="s">
        <v>264</v>
      </c>
      <c r="B2024" s="76" t="s">
        <v>3682</v>
      </c>
      <c r="C2024" s="80" t="s">
        <v>985</v>
      </c>
    </row>
    <row r="2025" spans="1:3" ht="15">
      <c r="A2025" s="77" t="s">
        <v>264</v>
      </c>
      <c r="B2025" s="76" t="s">
        <v>3683</v>
      </c>
      <c r="C2025" s="80" t="s">
        <v>985</v>
      </c>
    </row>
    <row r="2026" spans="1:3" ht="15">
      <c r="A2026" s="77" t="s">
        <v>264</v>
      </c>
      <c r="B2026" s="76" t="s">
        <v>3684</v>
      </c>
      <c r="C2026" s="80" t="s">
        <v>985</v>
      </c>
    </row>
    <row r="2027" spans="1:3" ht="15">
      <c r="A2027" s="77" t="s">
        <v>264</v>
      </c>
      <c r="B2027" s="76" t="s">
        <v>2757</v>
      </c>
      <c r="C2027" s="80" t="s">
        <v>985</v>
      </c>
    </row>
    <row r="2028" spans="1:3" ht="15">
      <c r="A2028" s="77" t="s">
        <v>264</v>
      </c>
      <c r="B2028" s="76" t="s">
        <v>3685</v>
      </c>
      <c r="C2028" s="80" t="s">
        <v>985</v>
      </c>
    </row>
    <row r="2029" spans="1:3" ht="15">
      <c r="A2029" s="77" t="s">
        <v>264</v>
      </c>
      <c r="B2029" s="76" t="s">
        <v>2714</v>
      </c>
      <c r="C2029" s="80" t="s">
        <v>985</v>
      </c>
    </row>
    <row r="2030" spans="1:3" ht="15">
      <c r="A2030" s="77" t="s">
        <v>264</v>
      </c>
      <c r="B2030" s="76" t="s">
        <v>2438</v>
      </c>
      <c r="C2030" s="80" t="s">
        <v>985</v>
      </c>
    </row>
    <row r="2031" spans="1:3" ht="15">
      <c r="A2031" s="77" t="s">
        <v>264</v>
      </c>
      <c r="B2031" s="76" t="s">
        <v>2439</v>
      </c>
      <c r="C2031" s="80" t="s">
        <v>985</v>
      </c>
    </row>
    <row r="2032" spans="1:3" ht="15">
      <c r="A2032" s="77" t="s">
        <v>264</v>
      </c>
      <c r="B2032" s="76" t="s">
        <v>632</v>
      </c>
      <c r="C2032" s="80" t="s">
        <v>985</v>
      </c>
    </row>
    <row r="2033" spans="1:3" ht="15">
      <c r="A2033" s="77" t="s">
        <v>264</v>
      </c>
      <c r="B2033" s="76" t="s">
        <v>3686</v>
      </c>
      <c r="C2033" s="80" t="s">
        <v>985</v>
      </c>
    </row>
    <row r="2034" spans="1:3" ht="15">
      <c r="A2034" s="77" t="s">
        <v>288</v>
      </c>
      <c r="B2034" s="76" t="s">
        <v>3687</v>
      </c>
      <c r="C2034" s="80" t="s">
        <v>1012</v>
      </c>
    </row>
    <row r="2035" spans="1:3" ht="15">
      <c r="A2035" s="77" t="s">
        <v>288</v>
      </c>
      <c r="B2035" s="76" t="s">
        <v>3688</v>
      </c>
      <c r="C2035" s="80" t="s">
        <v>1012</v>
      </c>
    </row>
    <row r="2036" spans="1:3" ht="15">
      <c r="A2036" s="77" t="s">
        <v>288</v>
      </c>
      <c r="B2036" s="76" t="s">
        <v>2438</v>
      </c>
      <c r="C2036" s="80" t="s">
        <v>1012</v>
      </c>
    </row>
    <row r="2037" spans="1:3" ht="15">
      <c r="A2037" s="77" t="s">
        <v>288</v>
      </c>
      <c r="B2037" s="76" t="s">
        <v>2767</v>
      </c>
      <c r="C2037" s="80" t="s">
        <v>1012</v>
      </c>
    </row>
    <row r="2038" spans="1:3" ht="15">
      <c r="A2038" s="77" t="s">
        <v>288</v>
      </c>
      <c r="B2038" s="76" t="s">
        <v>3689</v>
      </c>
      <c r="C2038" s="80" t="s">
        <v>1012</v>
      </c>
    </row>
    <row r="2039" spans="1:3" ht="15">
      <c r="A2039" s="77" t="s">
        <v>288</v>
      </c>
      <c r="B2039" s="76" t="s">
        <v>3690</v>
      </c>
      <c r="C2039" s="80" t="s">
        <v>1012</v>
      </c>
    </row>
    <row r="2040" spans="1:3" ht="15">
      <c r="A2040" s="77" t="s">
        <v>288</v>
      </c>
      <c r="B2040" s="76" t="s">
        <v>2750</v>
      </c>
      <c r="C2040" s="80" t="s">
        <v>1012</v>
      </c>
    </row>
    <row r="2041" spans="1:3" ht="15">
      <c r="A2041" s="77" t="s">
        <v>288</v>
      </c>
      <c r="B2041" s="76" t="s">
        <v>3691</v>
      </c>
      <c r="C2041" s="80" t="s">
        <v>1012</v>
      </c>
    </row>
    <row r="2042" spans="1:3" ht="15">
      <c r="A2042" s="77" t="s">
        <v>288</v>
      </c>
      <c r="B2042" s="76" t="s">
        <v>3692</v>
      </c>
      <c r="C2042" s="80" t="s">
        <v>1012</v>
      </c>
    </row>
    <row r="2043" spans="1:3" ht="15">
      <c r="A2043" s="77" t="s">
        <v>288</v>
      </c>
      <c r="B2043" s="76" t="s">
        <v>2511</v>
      </c>
      <c r="C2043" s="80" t="s">
        <v>1012</v>
      </c>
    </row>
    <row r="2044" spans="1:3" ht="15">
      <c r="A2044" s="77" t="s">
        <v>288</v>
      </c>
      <c r="B2044" s="76">
        <v>19</v>
      </c>
      <c r="C2044" s="80" t="s">
        <v>1012</v>
      </c>
    </row>
    <row r="2045" spans="1:3" ht="15">
      <c r="A2045" s="77" t="s">
        <v>288</v>
      </c>
      <c r="B2045" s="76" t="s">
        <v>2490</v>
      </c>
      <c r="C2045" s="80" t="s">
        <v>1012</v>
      </c>
    </row>
    <row r="2046" spans="1:3" ht="15">
      <c r="A2046" s="77" t="s">
        <v>288</v>
      </c>
      <c r="B2046" s="76" t="s">
        <v>395</v>
      </c>
      <c r="C2046" s="80" t="s">
        <v>1012</v>
      </c>
    </row>
    <row r="2047" spans="1:3" ht="15">
      <c r="A2047" s="77" t="s">
        <v>288</v>
      </c>
      <c r="B2047" s="76" t="s">
        <v>396</v>
      </c>
      <c r="C2047" s="80" t="s">
        <v>1012</v>
      </c>
    </row>
    <row r="2048" spans="1:3" ht="15">
      <c r="A2048" s="77" t="s">
        <v>245</v>
      </c>
      <c r="B2048" s="76" t="s">
        <v>2441</v>
      </c>
      <c r="C2048" s="80" t="s">
        <v>965</v>
      </c>
    </row>
    <row r="2049" spans="1:3" ht="15">
      <c r="A2049" s="77" t="s">
        <v>245</v>
      </c>
      <c r="B2049" s="76" t="s">
        <v>3693</v>
      </c>
      <c r="C2049" s="80" t="s">
        <v>965</v>
      </c>
    </row>
    <row r="2050" spans="1:3" ht="15">
      <c r="A2050" s="77" t="s">
        <v>245</v>
      </c>
      <c r="B2050" s="76" t="s">
        <v>3694</v>
      </c>
      <c r="C2050" s="80" t="s">
        <v>965</v>
      </c>
    </row>
    <row r="2051" spans="1:3" ht="15">
      <c r="A2051" s="77" t="s">
        <v>245</v>
      </c>
      <c r="B2051" s="76" t="s">
        <v>3695</v>
      </c>
      <c r="C2051" s="80" t="s">
        <v>965</v>
      </c>
    </row>
    <row r="2052" spans="1:3" ht="15">
      <c r="A2052" s="77" t="s">
        <v>245</v>
      </c>
      <c r="B2052" s="76" t="s">
        <v>2472</v>
      </c>
      <c r="C2052" s="80" t="s">
        <v>965</v>
      </c>
    </row>
    <row r="2053" spans="1:3" ht="15">
      <c r="A2053" s="77" t="s">
        <v>245</v>
      </c>
      <c r="B2053" s="76" t="s">
        <v>2438</v>
      </c>
      <c r="C2053" s="80" t="s">
        <v>965</v>
      </c>
    </row>
    <row r="2054" spans="1:3" ht="15">
      <c r="A2054" s="77" t="s">
        <v>245</v>
      </c>
      <c r="B2054" s="76" t="s">
        <v>2439</v>
      </c>
      <c r="C2054" s="80" t="s">
        <v>965</v>
      </c>
    </row>
    <row r="2055" spans="1:3" ht="15">
      <c r="A2055" s="77" t="s">
        <v>245</v>
      </c>
      <c r="B2055" s="76" t="s">
        <v>3696</v>
      </c>
      <c r="C2055" s="80" t="s">
        <v>965</v>
      </c>
    </row>
    <row r="2056" spans="1:3" ht="15">
      <c r="A2056" s="77" t="s">
        <v>245</v>
      </c>
      <c r="B2056" s="76" t="s">
        <v>2475</v>
      </c>
      <c r="C2056" s="80" t="s">
        <v>965</v>
      </c>
    </row>
    <row r="2057" spans="1:3" ht="15">
      <c r="A2057" s="77" t="s">
        <v>245</v>
      </c>
      <c r="B2057" s="76" t="s">
        <v>2708</v>
      </c>
      <c r="C2057" s="80" t="s">
        <v>965</v>
      </c>
    </row>
    <row r="2058" spans="1:3" ht="15">
      <c r="A2058" s="77" t="s">
        <v>245</v>
      </c>
      <c r="B2058" s="76" t="s">
        <v>2485</v>
      </c>
      <c r="C2058" s="80" t="s">
        <v>965</v>
      </c>
    </row>
    <row r="2059" spans="1:3" ht="15">
      <c r="A2059" s="77" t="s">
        <v>245</v>
      </c>
      <c r="B2059" s="76" t="s">
        <v>3697</v>
      </c>
      <c r="C2059" s="80" t="s">
        <v>965</v>
      </c>
    </row>
    <row r="2060" spans="1:3" ht="15">
      <c r="A2060" s="77" t="s">
        <v>245</v>
      </c>
      <c r="B2060" s="76" t="s">
        <v>2455</v>
      </c>
      <c r="C2060" s="80" t="s">
        <v>965</v>
      </c>
    </row>
    <row r="2061" spans="1:3" ht="15">
      <c r="A2061" s="77" t="s">
        <v>245</v>
      </c>
      <c r="B2061" s="76" t="s">
        <v>2537</v>
      </c>
      <c r="C2061" s="80" t="s">
        <v>965</v>
      </c>
    </row>
    <row r="2062" spans="1:3" ht="15">
      <c r="A2062" s="77" t="s">
        <v>245</v>
      </c>
      <c r="B2062" s="76" t="s">
        <v>2567</v>
      </c>
      <c r="C2062" s="80" t="s">
        <v>965</v>
      </c>
    </row>
    <row r="2063" spans="1:3" ht="15">
      <c r="A2063" s="77" t="s">
        <v>245</v>
      </c>
      <c r="B2063" s="76" t="s">
        <v>2445</v>
      </c>
      <c r="C2063" s="80" t="s">
        <v>965</v>
      </c>
    </row>
    <row r="2064" spans="1:3" ht="15">
      <c r="A2064" s="77" t="s">
        <v>245</v>
      </c>
      <c r="B2064" s="76" t="s">
        <v>3698</v>
      </c>
      <c r="C2064" s="80" t="s">
        <v>965</v>
      </c>
    </row>
    <row r="2065" spans="1:3" ht="15">
      <c r="A2065" s="77" t="s">
        <v>245</v>
      </c>
      <c r="B2065" s="76" t="s">
        <v>2440</v>
      </c>
      <c r="C2065" s="80" t="s">
        <v>965</v>
      </c>
    </row>
    <row r="2066" spans="1:3" ht="15">
      <c r="A2066" s="77" t="s">
        <v>245</v>
      </c>
      <c r="B2066" s="76" t="s">
        <v>2696</v>
      </c>
      <c r="C2066" s="80" t="s">
        <v>965</v>
      </c>
    </row>
    <row r="2067" spans="1:3" ht="15">
      <c r="A2067" s="77" t="s">
        <v>245</v>
      </c>
      <c r="B2067" s="76" t="s">
        <v>2571</v>
      </c>
      <c r="C2067" s="80" t="s">
        <v>965</v>
      </c>
    </row>
    <row r="2068" spans="1:3" ht="15">
      <c r="A2068" s="77" t="s">
        <v>240</v>
      </c>
      <c r="B2068" s="76" t="s">
        <v>3699</v>
      </c>
      <c r="C2068" s="80" t="s">
        <v>959</v>
      </c>
    </row>
    <row r="2069" spans="1:3" ht="15">
      <c r="A2069" s="77" t="s">
        <v>240</v>
      </c>
      <c r="B2069" s="76" t="s">
        <v>3700</v>
      </c>
      <c r="C2069" s="80" t="s">
        <v>959</v>
      </c>
    </row>
    <row r="2070" spans="1:3" ht="15">
      <c r="A2070" s="77" t="s">
        <v>240</v>
      </c>
      <c r="B2070" s="76" t="s">
        <v>3701</v>
      </c>
      <c r="C2070" s="80" t="s">
        <v>959</v>
      </c>
    </row>
    <row r="2071" spans="1:3" ht="15">
      <c r="A2071" s="77" t="s">
        <v>240</v>
      </c>
      <c r="B2071" s="76" t="s">
        <v>3702</v>
      </c>
      <c r="C2071" s="80" t="s">
        <v>959</v>
      </c>
    </row>
    <row r="2072" spans="1:3" ht="15">
      <c r="A2072" s="77" t="s">
        <v>240</v>
      </c>
      <c r="B2072" s="76" t="s">
        <v>2438</v>
      </c>
      <c r="C2072" s="80" t="s">
        <v>959</v>
      </c>
    </row>
    <row r="2073" spans="1:3" ht="15">
      <c r="A2073" s="77" t="s">
        <v>240</v>
      </c>
      <c r="B2073" s="76" t="s">
        <v>3703</v>
      </c>
      <c r="C2073" s="80" t="s">
        <v>959</v>
      </c>
    </row>
    <row r="2074" spans="1:3" ht="15">
      <c r="A2074" s="77" t="s">
        <v>240</v>
      </c>
      <c r="B2074" s="76" t="s">
        <v>2596</v>
      </c>
      <c r="C2074" s="80" t="s">
        <v>959</v>
      </c>
    </row>
    <row r="2075" spans="1:3" ht="15">
      <c r="A2075" s="77" t="s">
        <v>240</v>
      </c>
      <c r="B2075" s="76" t="s">
        <v>3704</v>
      </c>
      <c r="C2075" s="80" t="s">
        <v>959</v>
      </c>
    </row>
    <row r="2076" spans="1:3" ht="15">
      <c r="A2076" s="77" t="s">
        <v>240</v>
      </c>
      <c r="B2076" s="76" t="s">
        <v>3705</v>
      </c>
      <c r="C2076" s="80" t="s">
        <v>959</v>
      </c>
    </row>
    <row r="2077" spans="1:3" ht="15">
      <c r="A2077" s="77" t="s">
        <v>240</v>
      </c>
      <c r="B2077" s="76" t="s">
        <v>3706</v>
      </c>
      <c r="C2077" s="80" t="s">
        <v>959</v>
      </c>
    </row>
    <row r="2078" spans="1:3" ht="15">
      <c r="A2078" s="77" t="s">
        <v>240</v>
      </c>
      <c r="B2078" s="76" t="s">
        <v>355</v>
      </c>
      <c r="C2078" s="80" t="s">
        <v>959</v>
      </c>
    </row>
    <row r="2079" spans="1:3" ht="15">
      <c r="A2079" s="77" t="s">
        <v>310</v>
      </c>
      <c r="B2079" s="76" t="s">
        <v>3707</v>
      </c>
      <c r="C2079" s="80" t="s">
        <v>1039</v>
      </c>
    </row>
    <row r="2080" spans="1:3" ht="15">
      <c r="A2080" s="77" t="s">
        <v>310</v>
      </c>
      <c r="B2080" s="76" t="s">
        <v>3708</v>
      </c>
      <c r="C2080" s="80" t="s">
        <v>1039</v>
      </c>
    </row>
    <row r="2081" spans="1:3" ht="15">
      <c r="A2081" s="77" t="s">
        <v>310</v>
      </c>
      <c r="B2081" s="76" t="s">
        <v>3709</v>
      </c>
      <c r="C2081" s="80" t="s">
        <v>1039</v>
      </c>
    </row>
    <row r="2082" spans="1:3" ht="15">
      <c r="A2082" s="77" t="s">
        <v>310</v>
      </c>
      <c r="B2082" s="76" t="s">
        <v>3710</v>
      </c>
      <c r="C2082" s="80" t="s">
        <v>1039</v>
      </c>
    </row>
    <row r="2083" spans="1:3" ht="15">
      <c r="A2083" s="77" t="s">
        <v>310</v>
      </c>
      <c r="B2083" s="76" t="s">
        <v>3711</v>
      </c>
      <c r="C2083" s="80" t="s">
        <v>1039</v>
      </c>
    </row>
    <row r="2084" spans="1:3" ht="15">
      <c r="A2084" s="77" t="s">
        <v>310</v>
      </c>
      <c r="B2084" s="76" t="s">
        <v>3712</v>
      </c>
      <c r="C2084" s="80" t="s">
        <v>1039</v>
      </c>
    </row>
    <row r="2085" spans="1:3" ht="15">
      <c r="A2085" s="77" t="s">
        <v>310</v>
      </c>
      <c r="B2085" s="76" t="s">
        <v>3713</v>
      </c>
      <c r="C2085" s="80" t="s">
        <v>1039</v>
      </c>
    </row>
    <row r="2086" spans="1:3" ht="15">
      <c r="A2086" s="77" t="s">
        <v>310</v>
      </c>
      <c r="B2086" s="76" t="s">
        <v>2597</v>
      </c>
      <c r="C2086" s="80" t="s">
        <v>1039</v>
      </c>
    </row>
    <row r="2087" spans="1:3" ht="15">
      <c r="A2087" s="77" t="s">
        <v>310</v>
      </c>
      <c r="B2087" s="76" t="s">
        <v>2497</v>
      </c>
      <c r="C2087" s="80" t="s">
        <v>1039</v>
      </c>
    </row>
    <row r="2088" spans="1:3" ht="15">
      <c r="A2088" s="77" t="s">
        <v>310</v>
      </c>
      <c r="B2088" s="76" t="s">
        <v>3714</v>
      </c>
      <c r="C2088" s="80" t="s">
        <v>1039</v>
      </c>
    </row>
    <row r="2089" spans="1:3" ht="15">
      <c r="A2089" s="77" t="s">
        <v>310</v>
      </c>
      <c r="B2089" s="76">
        <v>0</v>
      </c>
      <c r="C2089" s="80" t="s">
        <v>1039</v>
      </c>
    </row>
    <row r="2090" spans="1:3" ht="15">
      <c r="A2090" s="77" t="s">
        <v>310</v>
      </c>
      <c r="B2090" s="76">
        <v>28</v>
      </c>
      <c r="C2090" s="80" t="s">
        <v>1039</v>
      </c>
    </row>
    <row r="2091" spans="1:3" ht="15">
      <c r="A2091" s="77" t="s">
        <v>310</v>
      </c>
      <c r="B2091" s="76" t="s">
        <v>3715</v>
      </c>
      <c r="C2091" s="80" t="s">
        <v>1039</v>
      </c>
    </row>
    <row r="2092" spans="1:3" ht="15">
      <c r="A2092" s="77" t="s">
        <v>310</v>
      </c>
      <c r="B2092" s="76" t="s">
        <v>2576</v>
      </c>
      <c r="C2092" s="80" t="s">
        <v>1039</v>
      </c>
    </row>
    <row r="2093" spans="1:3" ht="15">
      <c r="A2093" s="77" t="s">
        <v>310</v>
      </c>
      <c r="B2093" s="76" t="s">
        <v>2558</v>
      </c>
      <c r="C2093" s="80" t="s">
        <v>1039</v>
      </c>
    </row>
    <row r="2094" spans="1:3" ht="15">
      <c r="A2094" s="77" t="s">
        <v>310</v>
      </c>
      <c r="B2094" s="76" t="s">
        <v>2438</v>
      </c>
      <c r="C2094" s="80" t="s">
        <v>1039</v>
      </c>
    </row>
    <row r="2095" spans="1:3" ht="15">
      <c r="A2095" s="77" t="s">
        <v>310</v>
      </c>
      <c r="B2095" s="76" t="s">
        <v>2439</v>
      </c>
      <c r="C2095" s="80" t="s">
        <v>1039</v>
      </c>
    </row>
    <row r="2096" spans="1:3" ht="15">
      <c r="A2096" s="77" t="s">
        <v>310</v>
      </c>
      <c r="B2096" s="76" t="s">
        <v>3716</v>
      </c>
      <c r="C2096" s="80" t="s">
        <v>1036</v>
      </c>
    </row>
    <row r="2097" spans="1:3" ht="15">
      <c r="A2097" s="77" t="s">
        <v>310</v>
      </c>
      <c r="B2097" s="76" t="s">
        <v>2449</v>
      </c>
      <c r="C2097" s="80" t="s">
        <v>1036</v>
      </c>
    </row>
    <row r="2098" spans="1:3" ht="15">
      <c r="A2098" s="77" t="s">
        <v>310</v>
      </c>
      <c r="B2098" s="76" t="s">
        <v>2553</v>
      </c>
      <c r="C2098" s="80" t="s">
        <v>1036</v>
      </c>
    </row>
    <row r="2099" spans="1:3" ht="15">
      <c r="A2099" s="77" t="s">
        <v>310</v>
      </c>
      <c r="B2099" s="76" t="s">
        <v>2752</v>
      </c>
      <c r="C2099" s="80" t="s">
        <v>1036</v>
      </c>
    </row>
    <row r="2100" spans="1:3" ht="15">
      <c r="A2100" s="77" t="s">
        <v>310</v>
      </c>
      <c r="B2100" s="76" t="s">
        <v>3717</v>
      </c>
      <c r="C2100" s="80" t="s">
        <v>1036</v>
      </c>
    </row>
    <row r="2101" spans="1:3" ht="15">
      <c r="A2101" s="77" t="s">
        <v>310</v>
      </c>
      <c r="B2101" s="76" t="s">
        <v>3718</v>
      </c>
      <c r="C2101" s="80" t="s">
        <v>1036</v>
      </c>
    </row>
    <row r="2102" spans="1:3" ht="15">
      <c r="A2102" s="77" t="s">
        <v>310</v>
      </c>
      <c r="B2102" s="76" t="s">
        <v>3719</v>
      </c>
      <c r="C2102" s="80" t="s">
        <v>1036</v>
      </c>
    </row>
    <row r="2103" spans="1:3" ht="15">
      <c r="A2103" s="77" t="s">
        <v>310</v>
      </c>
      <c r="B2103" s="76" t="s">
        <v>3720</v>
      </c>
      <c r="C2103" s="80" t="s">
        <v>1036</v>
      </c>
    </row>
    <row r="2104" spans="1:3" ht="15">
      <c r="A2104" s="77" t="s">
        <v>310</v>
      </c>
      <c r="B2104" s="76" t="s">
        <v>2575</v>
      </c>
      <c r="C2104" s="80" t="s">
        <v>1036</v>
      </c>
    </row>
    <row r="2105" spans="1:3" ht="15">
      <c r="A2105" s="77" t="s">
        <v>310</v>
      </c>
      <c r="B2105" s="76" t="s">
        <v>2729</v>
      </c>
      <c r="C2105" s="80" t="s">
        <v>1036</v>
      </c>
    </row>
    <row r="2106" spans="1:3" ht="15">
      <c r="A2106" s="77" t="s">
        <v>310</v>
      </c>
      <c r="B2106" s="76" t="s">
        <v>3721</v>
      </c>
      <c r="C2106" s="80" t="s">
        <v>1036</v>
      </c>
    </row>
    <row r="2107" spans="1:3" ht="15">
      <c r="A2107" s="77" t="s">
        <v>310</v>
      </c>
      <c r="B2107" s="76" t="s">
        <v>3722</v>
      </c>
      <c r="C2107" s="80" t="s">
        <v>1036</v>
      </c>
    </row>
    <row r="2108" spans="1:3" ht="15">
      <c r="A2108" s="77" t="s">
        <v>310</v>
      </c>
      <c r="B2108" s="76" t="s">
        <v>2778</v>
      </c>
      <c r="C2108" s="80" t="s">
        <v>1036</v>
      </c>
    </row>
    <row r="2109" spans="1:3" ht="15">
      <c r="A2109" s="77" t="s">
        <v>310</v>
      </c>
      <c r="B2109" s="76" t="s">
        <v>3723</v>
      </c>
      <c r="C2109" s="80" t="s">
        <v>1036</v>
      </c>
    </row>
    <row r="2110" spans="1:3" ht="15">
      <c r="A2110" s="77" t="s">
        <v>310</v>
      </c>
      <c r="B2110" s="76" t="s">
        <v>3724</v>
      </c>
      <c r="C2110" s="80" t="s">
        <v>1036</v>
      </c>
    </row>
    <row r="2111" spans="1:3" ht="15">
      <c r="A2111" s="77" t="s">
        <v>310</v>
      </c>
      <c r="B2111" s="76" t="s">
        <v>2735</v>
      </c>
      <c r="C2111" s="80" t="s">
        <v>1036</v>
      </c>
    </row>
    <row r="2112" spans="1:3" ht="15">
      <c r="A2112" s="77" t="s">
        <v>310</v>
      </c>
      <c r="B2112" s="76" t="s">
        <v>2738</v>
      </c>
      <c r="C2112" s="80" t="s">
        <v>1036</v>
      </c>
    </row>
    <row r="2113" spans="1:3" ht="15">
      <c r="A2113" s="77" t="s">
        <v>310</v>
      </c>
      <c r="B2113" s="76" t="s">
        <v>2438</v>
      </c>
      <c r="C2113" s="80" t="s">
        <v>1036</v>
      </c>
    </row>
    <row r="2114" spans="1:3" ht="15">
      <c r="A2114" s="77" t="s">
        <v>310</v>
      </c>
      <c r="B2114" s="76" t="s">
        <v>3725</v>
      </c>
      <c r="C2114" s="80" t="s">
        <v>1036</v>
      </c>
    </row>
    <row r="2115" spans="1:3" ht="15">
      <c r="A2115" s="77" t="s">
        <v>310</v>
      </c>
      <c r="B2115" s="76" t="s">
        <v>2473</v>
      </c>
      <c r="C2115" s="80" t="s">
        <v>1036</v>
      </c>
    </row>
    <row r="2116" spans="1:3" ht="15">
      <c r="A2116" s="77" t="s">
        <v>310</v>
      </c>
      <c r="B2116" s="76" t="s">
        <v>3726</v>
      </c>
      <c r="C2116" s="80" t="s">
        <v>1036</v>
      </c>
    </row>
    <row r="2117" spans="1:3" ht="15">
      <c r="A2117" s="77" t="s">
        <v>310</v>
      </c>
      <c r="B2117" s="76" t="s">
        <v>2490</v>
      </c>
      <c r="C2117" s="80" t="s">
        <v>1036</v>
      </c>
    </row>
    <row r="2118" spans="1:3" ht="15">
      <c r="A2118" s="77" t="s">
        <v>310</v>
      </c>
      <c r="B2118" s="76" t="s">
        <v>2454</v>
      </c>
      <c r="C2118" s="80" t="s">
        <v>1036</v>
      </c>
    </row>
    <row r="2119" spans="1:3" ht="15">
      <c r="A2119" s="77" t="s">
        <v>319</v>
      </c>
      <c r="B2119" s="76" t="s">
        <v>3727</v>
      </c>
      <c r="C2119" s="80" t="s">
        <v>1055</v>
      </c>
    </row>
    <row r="2120" spans="1:3" ht="15">
      <c r="A2120" s="77" t="s">
        <v>319</v>
      </c>
      <c r="B2120" s="76" t="s">
        <v>3728</v>
      </c>
      <c r="C2120" s="80" t="s">
        <v>1055</v>
      </c>
    </row>
    <row r="2121" spans="1:3" ht="15">
      <c r="A2121" s="77" t="s">
        <v>319</v>
      </c>
      <c r="B2121" s="76" t="s">
        <v>3729</v>
      </c>
      <c r="C2121" s="80" t="s">
        <v>1055</v>
      </c>
    </row>
    <row r="2122" spans="1:3" ht="15">
      <c r="A2122" s="77" t="s">
        <v>319</v>
      </c>
      <c r="B2122" s="76" t="s">
        <v>3730</v>
      </c>
      <c r="C2122" s="80" t="s">
        <v>1055</v>
      </c>
    </row>
    <row r="2123" spans="1:3" ht="15">
      <c r="A2123" s="77" t="s">
        <v>319</v>
      </c>
      <c r="B2123" s="76" t="s">
        <v>3731</v>
      </c>
      <c r="C2123" s="80" t="s">
        <v>1055</v>
      </c>
    </row>
    <row r="2124" spans="1:3" ht="15">
      <c r="A2124" s="77" t="s">
        <v>319</v>
      </c>
      <c r="B2124" s="76" t="s">
        <v>2448</v>
      </c>
      <c r="C2124" s="80" t="s">
        <v>1055</v>
      </c>
    </row>
    <row r="2125" spans="1:3" ht="15">
      <c r="A2125" s="77" t="s">
        <v>319</v>
      </c>
      <c r="B2125" s="76" t="s">
        <v>2438</v>
      </c>
      <c r="C2125" s="80" t="s">
        <v>1055</v>
      </c>
    </row>
    <row r="2126" spans="1:3" ht="15">
      <c r="A2126" s="77" t="s">
        <v>319</v>
      </c>
      <c r="B2126" s="76" t="s">
        <v>2545</v>
      </c>
      <c r="C2126" s="80" t="s">
        <v>1055</v>
      </c>
    </row>
    <row r="2127" spans="1:3" ht="15">
      <c r="A2127" s="77" t="s">
        <v>319</v>
      </c>
      <c r="B2127" s="76" t="s">
        <v>421</v>
      </c>
      <c r="C2127" s="80" t="s">
        <v>1055</v>
      </c>
    </row>
    <row r="2128" spans="1:3" ht="15">
      <c r="A2128" s="77" t="s">
        <v>319</v>
      </c>
      <c r="B2128" s="76" t="s">
        <v>3732</v>
      </c>
      <c r="C2128" s="80" t="s">
        <v>1055</v>
      </c>
    </row>
    <row r="2129" spans="1:3" ht="15">
      <c r="A2129" s="77" t="s">
        <v>319</v>
      </c>
      <c r="B2129" s="76" t="s">
        <v>3733</v>
      </c>
      <c r="C2129" s="80" t="s">
        <v>1055</v>
      </c>
    </row>
    <row r="2130" spans="1:3" ht="15">
      <c r="A2130" s="77" t="s">
        <v>319</v>
      </c>
      <c r="B2130" s="76" t="s">
        <v>3734</v>
      </c>
      <c r="C2130" s="80" t="s">
        <v>1055</v>
      </c>
    </row>
    <row r="2131" spans="1:3" ht="15">
      <c r="A2131" s="77" t="s">
        <v>319</v>
      </c>
      <c r="B2131" s="76" t="s">
        <v>2601</v>
      </c>
      <c r="C2131" s="80" t="s">
        <v>1055</v>
      </c>
    </row>
    <row r="2132" spans="1:3" ht="15">
      <c r="A2132" s="77" t="s">
        <v>319</v>
      </c>
      <c r="B2132" s="76" t="s">
        <v>3735</v>
      </c>
      <c r="C2132" s="80" t="s">
        <v>1055</v>
      </c>
    </row>
    <row r="2133" spans="1:3" ht="15">
      <c r="A2133" s="77" t="s">
        <v>319</v>
      </c>
      <c r="B2133" s="76" t="s">
        <v>3736</v>
      </c>
      <c r="C2133" s="80" t="s">
        <v>1055</v>
      </c>
    </row>
    <row r="2134" spans="1:3" ht="15">
      <c r="A2134" s="77" t="s">
        <v>319</v>
      </c>
      <c r="B2134" s="76" t="s">
        <v>422</v>
      </c>
      <c r="C2134" s="80" t="s">
        <v>1055</v>
      </c>
    </row>
    <row r="2135" spans="1:3" ht="15">
      <c r="A2135" s="77" t="s">
        <v>276</v>
      </c>
      <c r="B2135" s="76" t="s">
        <v>3737</v>
      </c>
      <c r="C2135" s="80" t="s">
        <v>997</v>
      </c>
    </row>
    <row r="2136" spans="1:3" ht="15">
      <c r="A2136" s="77" t="s">
        <v>276</v>
      </c>
      <c r="B2136" s="76" t="s">
        <v>3738</v>
      </c>
      <c r="C2136" s="80" t="s">
        <v>997</v>
      </c>
    </row>
    <row r="2137" spans="1:3" ht="15">
      <c r="A2137" s="77" t="s">
        <v>276</v>
      </c>
      <c r="B2137" s="76" t="s">
        <v>3739</v>
      </c>
      <c r="C2137" s="80" t="s">
        <v>997</v>
      </c>
    </row>
    <row r="2138" spans="1:3" ht="15">
      <c r="A2138" s="77" t="s">
        <v>276</v>
      </c>
      <c r="B2138" s="76" t="s">
        <v>3740</v>
      </c>
      <c r="C2138" s="80" t="s">
        <v>997</v>
      </c>
    </row>
    <row r="2139" spans="1:3" ht="15">
      <c r="A2139" s="77" t="s">
        <v>276</v>
      </c>
      <c r="B2139" s="76" t="s">
        <v>3741</v>
      </c>
      <c r="C2139" s="80" t="s">
        <v>997</v>
      </c>
    </row>
    <row r="2140" spans="1:3" ht="15">
      <c r="A2140" s="77" t="s">
        <v>276</v>
      </c>
      <c r="B2140" s="76" t="s">
        <v>2784</v>
      </c>
      <c r="C2140" s="80" t="s">
        <v>997</v>
      </c>
    </row>
    <row r="2141" spans="1:3" ht="15">
      <c r="A2141" s="77" t="s">
        <v>276</v>
      </c>
      <c r="B2141" s="76">
        <v>0</v>
      </c>
      <c r="C2141" s="80" t="s">
        <v>997</v>
      </c>
    </row>
    <row r="2142" spans="1:3" ht="15">
      <c r="A2142" s="77" t="s">
        <v>276</v>
      </c>
      <c r="B2142" s="76">
        <v>230</v>
      </c>
      <c r="C2142" s="80" t="s">
        <v>997</v>
      </c>
    </row>
    <row r="2143" spans="1:3" ht="15">
      <c r="A2143" s="77" t="s">
        <v>276</v>
      </c>
      <c r="B2143" s="76" t="s">
        <v>3742</v>
      </c>
      <c r="C2143" s="80" t="s">
        <v>997</v>
      </c>
    </row>
    <row r="2144" spans="1:3" ht="15">
      <c r="A2144" s="77" t="s">
        <v>276</v>
      </c>
      <c r="B2144" s="76" t="s">
        <v>2438</v>
      </c>
      <c r="C2144" s="80" t="s">
        <v>997</v>
      </c>
    </row>
    <row r="2145" spans="1:3" ht="15">
      <c r="A2145" s="77" t="s">
        <v>276</v>
      </c>
      <c r="B2145" s="76" t="s">
        <v>2439</v>
      </c>
      <c r="C2145" s="80" t="s">
        <v>997</v>
      </c>
    </row>
    <row r="2146" spans="1:3" ht="15">
      <c r="A2146" s="77" t="s">
        <v>276</v>
      </c>
      <c r="B2146" s="76" t="s">
        <v>2590</v>
      </c>
      <c r="C2146" s="80" t="s">
        <v>997</v>
      </c>
    </row>
    <row r="2147" spans="1:3" ht="15">
      <c r="A2147" s="77" t="s">
        <v>276</v>
      </c>
      <c r="B2147" s="76" t="s">
        <v>2717</v>
      </c>
      <c r="C2147" s="80" t="s">
        <v>997</v>
      </c>
    </row>
    <row r="2148" spans="1:3" ht="15">
      <c r="A2148" s="77" t="s">
        <v>276</v>
      </c>
      <c r="B2148" s="76" t="s">
        <v>3743</v>
      </c>
      <c r="C2148" s="80" t="s">
        <v>997</v>
      </c>
    </row>
    <row r="2149" spans="1:3" ht="15">
      <c r="A2149" s="77" t="s">
        <v>276</v>
      </c>
      <c r="B2149" s="76">
        <v>2010</v>
      </c>
      <c r="C2149" s="80" t="s">
        <v>997</v>
      </c>
    </row>
    <row r="2150" spans="1:3" ht="15">
      <c r="A2150" s="77" t="s">
        <v>276</v>
      </c>
      <c r="B2150" s="76" t="s">
        <v>3744</v>
      </c>
      <c r="C2150" s="80" t="s">
        <v>997</v>
      </c>
    </row>
    <row r="2151" spans="1:3" ht="15">
      <c r="A2151" s="77" t="s">
        <v>276</v>
      </c>
      <c r="B2151" s="76" t="s">
        <v>3745</v>
      </c>
      <c r="C2151" s="80" t="s">
        <v>997</v>
      </c>
    </row>
    <row r="2152" spans="1:3" ht="15">
      <c r="A2152" s="77" t="s">
        <v>276</v>
      </c>
      <c r="B2152" s="76" t="s">
        <v>2515</v>
      </c>
      <c r="C2152" s="80" t="s">
        <v>997</v>
      </c>
    </row>
    <row r="2153" spans="1:3" ht="15">
      <c r="A2153" s="77" t="s">
        <v>276</v>
      </c>
      <c r="B2153" s="76" t="s">
        <v>3746</v>
      </c>
      <c r="C2153" s="80" t="s">
        <v>997</v>
      </c>
    </row>
    <row r="2154" spans="1:3" ht="15">
      <c r="A2154" s="77" t="s">
        <v>276</v>
      </c>
      <c r="B2154" s="76" t="s">
        <v>3747</v>
      </c>
      <c r="C2154" s="80" t="s">
        <v>997</v>
      </c>
    </row>
    <row r="2155" spans="1:3" ht="15">
      <c r="A2155" s="77" t="s">
        <v>276</v>
      </c>
      <c r="B2155" s="76" t="s">
        <v>3748</v>
      </c>
      <c r="C2155" s="80" t="s">
        <v>997</v>
      </c>
    </row>
    <row r="2156" spans="1:3" ht="15">
      <c r="A2156" s="77" t="s">
        <v>276</v>
      </c>
      <c r="B2156" s="76" t="s">
        <v>3749</v>
      </c>
      <c r="C2156" s="80" t="s">
        <v>997</v>
      </c>
    </row>
    <row r="2157" spans="1:3" ht="15">
      <c r="A2157" s="77" t="s">
        <v>276</v>
      </c>
      <c r="B2157" s="76" t="s">
        <v>2571</v>
      </c>
      <c r="C2157" s="80" t="s">
        <v>997</v>
      </c>
    </row>
    <row r="2158" spans="1:3" ht="15">
      <c r="A2158" s="77" t="s">
        <v>276</v>
      </c>
      <c r="B2158" s="76" t="s">
        <v>2530</v>
      </c>
      <c r="C2158" s="80" t="s">
        <v>997</v>
      </c>
    </row>
    <row r="2159" spans="1:3" ht="15">
      <c r="A2159" s="77" t="s">
        <v>276</v>
      </c>
      <c r="B2159" s="76" t="s">
        <v>3750</v>
      </c>
      <c r="C2159" s="80" t="s">
        <v>997</v>
      </c>
    </row>
    <row r="2160" spans="1:3" ht="15">
      <c r="A2160" s="77" t="s">
        <v>306</v>
      </c>
      <c r="B2160" s="76" t="s">
        <v>3751</v>
      </c>
      <c r="C2160" s="80" t="s">
        <v>1031</v>
      </c>
    </row>
    <row r="2161" spans="1:3" ht="15">
      <c r="A2161" s="77" t="s">
        <v>306</v>
      </c>
      <c r="B2161" s="76">
        <v>30</v>
      </c>
      <c r="C2161" s="80" t="s">
        <v>1031</v>
      </c>
    </row>
    <row r="2162" spans="1:3" ht="15">
      <c r="A2162" s="77" t="s">
        <v>306</v>
      </c>
      <c r="B2162" s="76" t="s">
        <v>2451</v>
      </c>
      <c r="C2162" s="80" t="s">
        <v>1031</v>
      </c>
    </row>
    <row r="2163" spans="1:3" ht="15">
      <c r="A2163" s="77" t="s">
        <v>306</v>
      </c>
      <c r="B2163" s="76" t="s">
        <v>2515</v>
      </c>
      <c r="C2163" s="80" t="s">
        <v>1031</v>
      </c>
    </row>
    <row r="2164" spans="1:3" ht="15">
      <c r="A2164" s="77" t="s">
        <v>306</v>
      </c>
      <c r="B2164" s="76" t="s">
        <v>3752</v>
      </c>
      <c r="C2164" s="80" t="s">
        <v>1031</v>
      </c>
    </row>
    <row r="2165" spans="1:3" ht="15">
      <c r="A2165" s="77" t="s">
        <v>306</v>
      </c>
      <c r="B2165" s="76" t="s">
        <v>3753</v>
      </c>
      <c r="C2165" s="80" t="s">
        <v>1031</v>
      </c>
    </row>
    <row r="2166" spans="1:3" ht="15">
      <c r="A2166" s="77" t="s">
        <v>306</v>
      </c>
      <c r="B2166" s="76" t="s">
        <v>3754</v>
      </c>
      <c r="C2166" s="80" t="s">
        <v>1031</v>
      </c>
    </row>
    <row r="2167" spans="1:3" ht="15">
      <c r="A2167" s="77" t="s">
        <v>306</v>
      </c>
      <c r="B2167" s="76" t="s">
        <v>2506</v>
      </c>
      <c r="C2167" s="80" t="s">
        <v>1031</v>
      </c>
    </row>
    <row r="2168" spans="1:3" ht="15">
      <c r="A2168" s="77" t="s">
        <v>306</v>
      </c>
      <c r="B2168" s="76" t="s">
        <v>3755</v>
      </c>
      <c r="C2168" s="80" t="s">
        <v>1031</v>
      </c>
    </row>
    <row r="2169" spans="1:3" ht="15">
      <c r="A2169" s="77" t="s">
        <v>306</v>
      </c>
      <c r="B2169" s="76" t="s">
        <v>2471</v>
      </c>
      <c r="C2169" s="80" t="s">
        <v>1031</v>
      </c>
    </row>
    <row r="2170" spans="1:3" ht="15">
      <c r="A2170" s="77" t="s">
        <v>306</v>
      </c>
      <c r="B2170" s="76" t="s">
        <v>3756</v>
      </c>
      <c r="C2170" s="80" t="s">
        <v>1031</v>
      </c>
    </row>
    <row r="2171" spans="1:3" ht="15">
      <c r="A2171" s="77" t="s">
        <v>306</v>
      </c>
      <c r="B2171" s="76" t="s">
        <v>2438</v>
      </c>
      <c r="C2171" s="80" t="s">
        <v>1031</v>
      </c>
    </row>
    <row r="2172" spans="1:3" ht="15">
      <c r="A2172" s="77" t="s">
        <v>306</v>
      </c>
      <c r="B2172" s="76" t="s">
        <v>2439</v>
      </c>
      <c r="C2172" s="80" t="s">
        <v>1031</v>
      </c>
    </row>
    <row r="2173" spans="1:3" ht="15">
      <c r="A2173" s="77" t="s">
        <v>306</v>
      </c>
      <c r="B2173" s="76" t="s">
        <v>2441</v>
      </c>
      <c r="C2173" s="80" t="s">
        <v>1031</v>
      </c>
    </row>
    <row r="2174" spans="1:3" ht="15">
      <c r="A2174" s="77" t="s">
        <v>306</v>
      </c>
      <c r="B2174" s="76" t="s">
        <v>2771</v>
      </c>
      <c r="C2174" s="80" t="s">
        <v>1031</v>
      </c>
    </row>
    <row r="2175" spans="1:3" ht="15">
      <c r="A2175" s="77" t="s">
        <v>306</v>
      </c>
      <c r="B2175" s="76" t="s">
        <v>2509</v>
      </c>
      <c r="C2175" s="80" t="s">
        <v>1031</v>
      </c>
    </row>
    <row r="2176" spans="1:3" ht="15">
      <c r="A2176" s="77" t="s">
        <v>306</v>
      </c>
      <c r="B2176" s="76" t="s">
        <v>406</v>
      </c>
      <c r="C2176" s="80" t="s">
        <v>1031</v>
      </c>
    </row>
    <row r="2177" spans="1:3" ht="15">
      <c r="A2177" s="77" t="s">
        <v>306</v>
      </c>
      <c r="B2177" s="76" t="s">
        <v>407</v>
      </c>
      <c r="C2177" s="80" t="s">
        <v>1031</v>
      </c>
    </row>
    <row r="2178" spans="1:3" ht="15">
      <c r="A2178" s="77" t="s">
        <v>306</v>
      </c>
      <c r="B2178" s="76" t="s">
        <v>1290</v>
      </c>
      <c r="C2178" s="80" t="s">
        <v>1031</v>
      </c>
    </row>
    <row r="2179" spans="1:3" ht="15">
      <c r="A2179" s="77" t="s">
        <v>301</v>
      </c>
      <c r="B2179" s="76" t="s">
        <v>3757</v>
      </c>
      <c r="C2179" s="80" t="s">
        <v>1026</v>
      </c>
    </row>
    <row r="2180" spans="1:3" ht="15">
      <c r="A2180" s="77" t="s">
        <v>301</v>
      </c>
      <c r="B2180" s="76" t="s">
        <v>3758</v>
      </c>
      <c r="C2180" s="80" t="s">
        <v>1026</v>
      </c>
    </row>
    <row r="2181" spans="1:3" ht="15">
      <c r="A2181" s="77" t="s">
        <v>301</v>
      </c>
      <c r="B2181" s="76" t="s">
        <v>3759</v>
      </c>
      <c r="C2181" s="80" t="s">
        <v>1026</v>
      </c>
    </row>
    <row r="2182" spans="1:3" ht="15">
      <c r="A2182" s="77" t="s">
        <v>301</v>
      </c>
      <c r="B2182" s="76">
        <v>9938</v>
      </c>
      <c r="C2182" s="80" t="s">
        <v>1026</v>
      </c>
    </row>
    <row r="2183" spans="1:3" ht="15">
      <c r="A2183" s="77" t="s">
        <v>301</v>
      </c>
      <c r="B2183" s="76">
        <v>473</v>
      </c>
      <c r="C2183" s="80" t="s">
        <v>1026</v>
      </c>
    </row>
    <row r="2184" spans="1:3" ht="15">
      <c r="A2184" s="77" t="s">
        <v>301</v>
      </c>
      <c r="B2184" s="76">
        <v>360</v>
      </c>
      <c r="C2184" s="80" t="s">
        <v>1026</v>
      </c>
    </row>
    <row r="2185" spans="1:3" ht="15">
      <c r="A2185" s="77" t="s">
        <v>301</v>
      </c>
      <c r="B2185" s="76" t="s">
        <v>3760</v>
      </c>
      <c r="C2185" s="80" t="s">
        <v>1026</v>
      </c>
    </row>
    <row r="2186" spans="1:3" ht="15">
      <c r="A2186" s="77" t="s">
        <v>301</v>
      </c>
      <c r="B2186" s="76" t="s">
        <v>3761</v>
      </c>
      <c r="C2186" s="80" t="s">
        <v>1026</v>
      </c>
    </row>
    <row r="2187" spans="1:3" ht="15">
      <c r="A2187" s="77" t="s">
        <v>301</v>
      </c>
      <c r="B2187" s="76" t="s">
        <v>3762</v>
      </c>
      <c r="C2187" s="80" t="s">
        <v>1026</v>
      </c>
    </row>
    <row r="2188" spans="1:3" ht="15">
      <c r="A2188" s="77" t="s">
        <v>301</v>
      </c>
      <c r="B2188" s="76" t="s">
        <v>2488</v>
      </c>
      <c r="C2188" s="80" t="s">
        <v>1026</v>
      </c>
    </row>
    <row r="2189" spans="1:3" ht="15">
      <c r="A2189" s="77" t="s">
        <v>301</v>
      </c>
      <c r="B2189" s="76" t="s">
        <v>2540</v>
      </c>
      <c r="C2189" s="80" t="s">
        <v>1026</v>
      </c>
    </row>
    <row r="2190" spans="1:3" ht="15">
      <c r="A2190" s="77" t="s">
        <v>301</v>
      </c>
      <c r="B2190" s="76" t="s">
        <v>2438</v>
      </c>
      <c r="C2190" s="80" t="s">
        <v>1026</v>
      </c>
    </row>
    <row r="2191" spans="1:3" ht="15">
      <c r="A2191" s="77" t="s">
        <v>301</v>
      </c>
      <c r="B2191" s="76" t="s">
        <v>2519</v>
      </c>
      <c r="C2191" s="80" t="s">
        <v>1026</v>
      </c>
    </row>
    <row r="2192" spans="1:3" ht="15">
      <c r="A2192" s="77" t="s">
        <v>301</v>
      </c>
      <c r="B2192" s="76" t="s">
        <v>2466</v>
      </c>
      <c r="C2192" s="80" t="s">
        <v>1026</v>
      </c>
    </row>
    <row r="2193" spans="1:3" ht="15">
      <c r="A2193" s="77" t="s">
        <v>301</v>
      </c>
      <c r="B2193" s="76" t="s">
        <v>3763</v>
      </c>
      <c r="C2193" s="80" t="s">
        <v>1026</v>
      </c>
    </row>
    <row r="2194" spans="1:3" ht="15">
      <c r="A2194" s="77" t="s">
        <v>301</v>
      </c>
      <c r="B2194" s="76" t="s">
        <v>3764</v>
      </c>
      <c r="C2194" s="80" t="s">
        <v>1026</v>
      </c>
    </row>
    <row r="2195" spans="1:3" ht="15">
      <c r="A2195" s="77" t="s">
        <v>301</v>
      </c>
      <c r="B2195" s="76" t="s">
        <v>2475</v>
      </c>
      <c r="C2195" s="80" t="s">
        <v>1026</v>
      </c>
    </row>
    <row r="2196" spans="1:3" ht="15">
      <c r="A2196" s="77" t="s">
        <v>301</v>
      </c>
      <c r="B2196" s="76" t="s">
        <v>3117</v>
      </c>
      <c r="C2196" s="80" t="s">
        <v>1026</v>
      </c>
    </row>
    <row r="2197" spans="1:3" ht="15">
      <c r="A2197" s="77" t="s">
        <v>301</v>
      </c>
      <c r="B2197" s="76" t="s">
        <v>2617</v>
      </c>
      <c r="C2197" s="80" t="s">
        <v>1026</v>
      </c>
    </row>
    <row r="2198" spans="1:3" ht="15">
      <c r="A2198" s="77" t="s">
        <v>319</v>
      </c>
      <c r="B2198" s="76" t="s">
        <v>2438</v>
      </c>
      <c r="C2198" s="80" t="s">
        <v>1056</v>
      </c>
    </row>
    <row r="2199" spans="1:3" ht="15">
      <c r="A2199" s="77" t="s">
        <v>319</v>
      </c>
      <c r="B2199" s="76" t="s">
        <v>2473</v>
      </c>
      <c r="C2199" s="80" t="s">
        <v>1056</v>
      </c>
    </row>
    <row r="2200" spans="1:3" ht="15">
      <c r="A2200" s="77" t="s">
        <v>319</v>
      </c>
      <c r="B2200" s="76" t="s">
        <v>423</v>
      </c>
      <c r="C2200" s="80" t="s">
        <v>1056</v>
      </c>
    </row>
    <row r="2201" spans="1:3" ht="15">
      <c r="A2201" s="77" t="s">
        <v>319</v>
      </c>
      <c r="B2201" s="76" t="s">
        <v>3765</v>
      </c>
      <c r="C2201" s="80" t="s">
        <v>1056</v>
      </c>
    </row>
    <row r="2202" spans="1:3" ht="15">
      <c r="A2202" s="77" t="s">
        <v>319</v>
      </c>
      <c r="B2202" s="76" t="s">
        <v>2777</v>
      </c>
      <c r="C2202" s="80" t="s">
        <v>1056</v>
      </c>
    </row>
    <row r="2203" spans="1:3" ht="15">
      <c r="A2203" s="77" t="s">
        <v>319</v>
      </c>
      <c r="B2203" s="76" t="s">
        <v>2766</v>
      </c>
      <c r="C2203" s="80" t="s">
        <v>1056</v>
      </c>
    </row>
    <row r="2204" spans="1:3" ht="15">
      <c r="A2204" s="77" t="s">
        <v>319</v>
      </c>
      <c r="B2204" s="76" t="s">
        <v>3766</v>
      </c>
      <c r="C2204" s="80" t="s">
        <v>1056</v>
      </c>
    </row>
    <row r="2205" spans="1:3" ht="15">
      <c r="A2205" s="77" t="s">
        <v>319</v>
      </c>
      <c r="B2205" s="76" t="s">
        <v>2763</v>
      </c>
      <c r="C2205" s="80" t="s">
        <v>1056</v>
      </c>
    </row>
    <row r="2206" spans="1:3" ht="15">
      <c r="A2206" s="77" t="s">
        <v>319</v>
      </c>
      <c r="B2206" s="76" t="s">
        <v>3767</v>
      </c>
      <c r="C2206" s="80" t="s">
        <v>1056</v>
      </c>
    </row>
    <row r="2207" spans="1:3" ht="15">
      <c r="A2207" s="77" t="s">
        <v>319</v>
      </c>
      <c r="B2207" s="76" t="s">
        <v>3768</v>
      </c>
      <c r="C2207" s="80" t="s">
        <v>1056</v>
      </c>
    </row>
    <row r="2208" spans="1:3" ht="15">
      <c r="A2208" s="77" t="s">
        <v>319</v>
      </c>
      <c r="B2208" s="76" t="s">
        <v>2765</v>
      </c>
      <c r="C2208" s="80" t="s">
        <v>1056</v>
      </c>
    </row>
    <row r="2209" spans="1:3" ht="15">
      <c r="A2209" s="77" t="s">
        <v>319</v>
      </c>
      <c r="B2209" s="76" t="s">
        <v>424</v>
      </c>
      <c r="C2209" s="80" t="s">
        <v>1056</v>
      </c>
    </row>
    <row r="2210" spans="1:3" ht="15">
      <c r="A2210" s="77" t="s">
        <v>319</v>
      </c>
      <c r="B2210" s="76" t="s">
        <v>425</v>
      </c>
      <c r="C2210" s="80" t="s">
        <v>1056</v>
      </c>
    </row>
    <row r="2211" spans="1:3" ht="15">
      <c r="A2211" s="77" t="s">
        <v>236</v>
      </c>
      <c r="B2211" s="76" t="s">
        <v>3769</v>
      </c>
      <c r="C2211" s="80" t="s">
        <v>955</v>
      </c>
    </row>
    <row r="2212" spans="1:3" ht="15">
      <c r="A2212" s="77" t="s">
        <v>236</v>
      </c>
      <c r="B2212" s="76" t="s">
        <v>2479</v>
      </c>
      <c r="C2212" s="80" t="s">
        <v>955</v>
      </c>
    </row>
    <row r="2213" spans="1:3" ht="15">
      <c r="A2213" s="77" t="s">
        <v>236</v>
      </c>
      <c r="B2213" s="76" t="s">
        <v>3770</v>
      </c>
      <c r="C2213" s="80" t="s">
        <v>955</v>
      </c>
    </row>
    <row r="2214" spans="1:3" ht="15">
      <c r="A2214" s="77" t="s">
        <v>236</v>
      </c>
      <c r="B2214" s="76" t="s">
        <v>3771</v>
      </c>
      <c r="C2214" s="80" t="s">
        <v>955</v>
      </c>
    </row>
    <row r="2215" spans="1:3" ht="15">
      <c r="A2215" s="77" t="s">
        <v>236</v>
      </c>
      <c r="B2215" s="76" t="s">
        <v>3772</v>
      </c>
      <c r="C2215" s="80" t="s">
        <v>955</v>
      </c>
    </row>
    <row r="2216" spans="1:3" ht="15">
      <c r="A2216" s="77" t="s">
        <v>236</v>
      </c>
      <c r="B2216" s="76" t="s">
        <v>2438</v>
      </c>
      <c r="C2216" s="80" t="s">
        <v>955</v>
      </c>
    </row>
    <row r="2217" spans="1:3" ht="15">
      <c r="A2217" s="77" t="s">
        <v>236</v>
      </c>
      <c r="B2217" s="76" t="s">
        <v>2453</v>
      </c>
      <c r="C2217" s="80" t="s">
        <v>955</v>
      </c>
    </row>
    <row r="2218" spans="1:3" ht="15">
      <c r="A2218" s="77" t="s">
        <v>236</v>
      </c>
      <c r="B2218" s="76" t="s">
        <v>2607</v>
      </c>
      <c r="C2218" s="80" t="s">
        <v>955</v>
      </c>
    </row>
    <row r="2219" spans="1:3" ht="15">
      <c r="A2219" s="77" t="s">
        <v>236</v>
      </c>
      <c r="B2219" s="76" t="s">
        <v>2730</v>
      </c>
      <c r="C2219" s="80" t="s">
        <v>955</v>
      </c>
    </row>
    <row r="2220" spans="1:3" ht="15">
      <c r="A2220" s="77" t="s">
        <v>236</v>
      </c>
      <c r="B2220" s="76" t="s">
        <v>2528</v>
      </c>
      <c r="C2220" s="80" t="s">
        <v>955</v>
      </c>
    </row>
    <row r="2221" spans="1:3" ht="15">
      <c r="A2221" s="77" t="s">
        <v>236</v>
      </c>
      <c r="B2221" s="76" t="s">
        <v>2517</v>
      </c>
      <c r="C2221" s="80" t="s">
        <v>955</v>
      </c>
    </row>
    <row r="2222" spans="1:3" ht="15">
      <c r="A2222" s="77" t="s">
        <v>236</v>
      </c>
      <c r="B2222" s="76" t="s">
        <v>2629</v>
      </c>
      <c r="C2222" s="80" t="s">
        <v>955</v>
      </c>
    </row>
    <row r="2223" spans="1:3" ht="15">
      <c r="A2223" s="77" t="s">
        <v>236</v>
      </c>
      <c r="B2223" s="76" t="s">
        <v>2446</v>
      </c>
      <c r="C2223" s="80" t="s">
        <v>955</v>
      </c>
    </row>
    <row r="2224" spans="1:3" ht="15">
      <c r="A2224" s="77" t="s">
        <v>236</v>
      </c>
      <c r="B2224" s="76" t="s">
        <v>3773</v>
      </c>
      <c r="C2224" s="80" t="s">
        <v>955</v>
      </c>
    </row>
    <row r="2225" spans="1:3" ht="15">
      <c r="A2225" s="77" t="s">
        <v>236</v>
      </c>
      <c r="B2225" s="76" t="s">
        <v>3774</v>
      </c>
      <c r="C2225" s="80" t="s">
        <v>955</v>
      </c>
    </row>
    <row r="2226" spans="1:3" ht="15">
      <c r="A2226" s="77" t="s">
        <v>236</v>
      </c>
      <c r="B2226" s="76" t="s">
        <v>2791</v>
      </c>
      <c r="C2226" s="80" t="s">
        <v>955</v>
      </c>
    </row>
    <row r="2227" spans="1:3" ht="15">
      <c r="A2227" s="77" t="s">
        <v>236</v>
      </c>
      <c r="B2227" s="76" t="s">
        <v>2720</v>
      </c>
      <c r="C2227" s="80" t="s">
        <v>955</v>
      </c>
    </row>
    <row r="2228" spans="1:3" ht="15">
      <c r="A2228" s="77" t="s">
        <v>236</v>
      </c>
      <c r="B2228" s="76" t="s">
        <v>2478</v>
      </c>
      <c r="C2228" s="80" t="s">
        <v>955</v>
      </c>
    </row>
    <row r="2229" spans="1:3" ht="15">
      <c r="A2229" s="77" t="s">
        <v>236</v>
      </c>
      <c r="B2229" s="76" t="s">
        <v>3775</v>
      </c>
      <c r="C2229" s="80" t="s">
        <v>955</v>
      </c>
    </row>
    <row r="2230" spans="1:3" ht="15">
      <c r="A2230" s="77" t="s">
        <v>236</v>
      </c>
      <c r="B2230" s="76" t="s">
        <v>2442</v>
      </c>
      <c r="C2230" s="80" t="s">
        <v>955</v>
      </c>
    </row>
    <row r="2231" spans="1:3" ht="15">
      <c r="A2231" s="77" t="s">
        <v>236</v>
      </c>
      <c r="B2231" s="76" t="s">
        <v>3776</v>
      </c>
      <c r="C2231" s="80" t="s">
        <v>955</v>
      </c>
    </row>
    <row r="2232" spans="1:3" ht="15">
      <c r="A2232" s="77" t="s">
        <v>236</v>
      </c>
      <c r="B2232" s="76" t="s">
        <v>3777</v>
      </c>
      <c r="C2232" s="80" t="s">
        <v>955</v>
      </c>
    </row>
    <row r="2233" spans="1:3" ht="15">
      <c r="A2233" s="77" t="s">
        <v>236</v>
      </c>
      <c r="B2233" s="76" t="s">
        <v>2488</v>
      </c>
      <c r="C2233" s="80" t="s">
        <v>955</v>
      </c>
    </row>
    <row r="2234" spans="1:3" ht="15">
      <c r="A2234" s="77" t="s">
        <v>236</v>
      </c>
      <c r="B2234" s="76" t="s">
        <v>3778</v>
      </c>
      <c r="C2234" s="80" t="s">
        <v>955</v>
      </c>
    </row>
    <row r="2235" spans="1:3" ht="15">
      <c r="A2235" s="77" t="s">
        <v>318</v>
      </c>
      <c r="B2235" s="76" t="s">
        <v>2440</v>
      </c>
      <c r="C2235" s="80" t="s">
        <v>1053</v>
      </c>
    </row>
    <row r="2236" spans="1:3" ht="15">
      <c r="A2236" s="77" t="s">
        <v>318</v>
      </c>
      <c r="B2236" s="76" t="s">
        <v>3779</v>
      </c>
      <c r="C2236" s="80" t="s">
        <v>1053</v>
      </c>
    </row>
    <row r="2237" spans="1:3" ht="15">
      <c r="A2237" s="77" t="s">
        <v>318</v>
      </c>
      <c r="B2237" s="76" t="s">
        <v>2442</v>
      </c>
      <c r="C2237" s="80" t="s">
        <v>1053</v>
      </c>
    </row>
    <row r="2238" spans="1:3" ht="15">
      <c r="A2238" s="77" t="s">
        <v>318</v>
      </c>
      <c r="B2238" s="76" t="s">
        <v>2455</v>
      </c>
      <c r="C2238" s="80" t="s">
        <v>1053</v>
      </c>
    </row>
    <row r="2239" spans="1:3" ht="15">
      <c r="A2239" s="77" t="s">
        <v>318</v>
      </c>
      <c r="B2239" s="76" t="s">
        <v>2438</v>
      </c>
      <c r="C2239" s="80" t="s">
        <v>1053</v>
      </c>
    </row>
    <row r="2240" spans="1:3" ht="15">
      <c r="A2240" s="77" t="s">
        <v>318</v>
      </c>
      <c r="B2240" s="76" t="s">
        <v>2495</v>
      </c>
      <c r="C2240" s="80" t="s">
        <v>1053</v>
      </c>
    </row>
    <row r="2241" spans="1:3" ht="15">
      <c r="A2241" s="77" t="s">
        <v>318</v>
      </c>
      <c r="B2241" s="76" t="s">
        <v>3780</v>
      </c>
      <c r="C2241" s="80" t="s">
        <v>1053</v>
      </c>
    </row>
    <row r="2242" spans="1:3" ht="15">
      <c r="A2242" s="77" t="s">
        <v>318</v>
      </c>
      <c r="B2242" s="76" t="s">
        <v>3781</v>
      </c>
      <c r="C2242" s="80" t="s">
        <v>1053</v>
      </c>
    </row>
    <row r="2243" spans="1:3" ht="15">
      <c r="A2243" s="77" t="s">
        <v>318</v>
      </c>
      <c r="B2243" s="76" t="s">
        <v>418</v>
      </c>
      <c r="C2243" s="80" t="s">
        <v>1053</v>
      </c>
    </row>
    <row r="2244" spans="1:3" ht="15">
      <c r="A2244" s="77" t="s">
        <v>294</v>
      </c>
      <c r="B2244" s="76" t="s">
        <v>3782</v>
      </c>
      <c r="C2244" s="80" t="s">
        <v>1019</v>
      </c>
    </row>
    <row r="2245" spans="1:3" ht="15">
      <c r="A2245" s="77" t="s">
        <v>294</v>
      </c>
      <c r="B2245" s="76" t="s">
        <v>3783</v>
      </c>
      <c r="C2245" s="80" t="s">
        <v>1019</v>
      </c>
    </row>
    <row r="2246" spans="1:3" ht="15">
      <c r="A2246" s="77" t="s">
        <v>294</v>
      </c>
      <c r="B2246" s="76" t="s">
        <v>3784</v>
      </c>
      <c r="C2246" s="80" t="s">
        <v>1019</v>
      </c>
    </row>
    <row r="2247" spans="1:3" ht="15">
      <c r="A2247" s="77" t="s">
        <v>294</v>
      </c>
      <c r="B2247" s="76" t="s">
        <v>3785</v>
      </c>
      <c r="C2247" s="80" t="s">
        <v>1019</v>
      </c>
    </row>
    <row r="2248" spans="1:3" ht="15">
      <c r="A2248" s="77" t="s">
        <v>294</v>
      </c>
      <c r="B2248" s="76" t="s">
        <v>2685</v>
      </c>
      <c r="C2248" s="80" t="s">
        <v>1019</v>
      </c>
    </row>
    <row r="2249" spans="1:3" ht="15">
      <c r="A2249" s="77" t="s">
        <v>294</v>
      </c>
      <c r="B2249" s="76" t="s">
        <v>2543</v>
      </c>
      <c r="C2249" s="80" t="s">
        <v>1019</v>
      </c>
    </row>
    <row r="2250" spans="1:3" ht="15">
      <c r="A2250" s="77" t="s">
        <v>294</v>
      </c>
      <c r="B2250" s="76" t="s">
        <v>2544</v>
      </c>
      <c r="C2250" s="80" t="s">
        <v>1019</v>
      </c>
    </row>
    <row r="2251" spans="1:3" ht="15">
      <c r="A2251" s="77" t="s">
        <v>294</v>
      </c>
      <c r="B2251" s="76" t="s">
        <v>3786</v>
      </c>
      <c r="C2251" s="80" t="s">
        <v>1019</v>
      </c>
    </row>
    <row r="2252" spans="1:3" ht="15">
      <c r="A2252" s="77" t="s">
        <v>294</v>
      </c>
      <c r="B2252" s="76" t="s">
        <v>2770</v>
      </c>
      <c r="C2252" s="80" t="s">
        <v>1019</v>
      </c>
    </row>
    <row r="2253" spans="1:3" ht="15">
      <c r="A2253" s="77" t="s">
        <v>294</v>
      </c>
      <c r="B2253" s="76">
        <v>300</v>
      </c>
      <c r="C2253" s="80" t="s">
        <v>1019</v>
      </c>
    </row>
    <row r="2254" spans="1:3" ht="15">
      <c r="A2254" s="77" t="s">
        <v>294</v>
      </c>
      <c r="B2254" s="76" t="s">
        <v>3787</v>
      </c>
      <c r="C2254" s="80" t="s">
        <v>1019</v>
      </c>
    </row>
    <row r="2255" spans="1:3" ht="15">
      <c r="A2255" s="77" t="s">
        <v>294</v>
      </c>
      <c r="B2255" s="76" t="s">
        <v>2440</v>
      </c>
      <c r="C2255" s="80" t="s">
        <v>1019</v>
      </c>
    </row>
    <row r="2256" spans="1:3" ht="15">
      <c r="A2256" s="77" t="s">
        <v>294</v>
      </c>
      <c r="B2256" s="76" t="s">
        <v>3788</v>
      </c>
      <c r="C2256" s="80" t="s">
        <v>1019</v>
      </c>
    </row>
    <row r="2257" spans="1:3" ht="15">
      <c r="A2257" s="77" t="s">
        <v>294</v>
      </c>
      <c r="B2257" s="76" t="s">
        <v>3789</v>
      </c>
      <c r="C2257" s="80" t="s">
        <v>1019</v>
      </c>
    </row>
    <row r="2258" spans="1:3" ht="15">
      <c r="A2258" s="77" t="s">
        <v>294</v>
      </c>
      <c r="B2258" s="76" t="s">
        <v>3790</v>
      </c>
      <c r="C2258" s="80" t="s">
        <v>1019</v>
      </c>
    </row>
    <row r="2259" spans="1:3" ht="15">
      <c r="A2259" s="77" t="s">
        <v>294</v>
      </c>
      <c r="B2259" s="76" t="s">
        <v>3791</v>
      </c>
      <c r="C2259" s="80" t="s">
        <v>1019</v>
      </c>
    </row>
    <row r="2260" spans="1:3" ht="15">
      <c r="A2260" s="77" t="s">
        <v>294</v>
      </c>
      <c r="B2260" s="76" t="s">
        <v>2574</v>
      </c>
      <c r="C2260" s="80" t="s">
        <v>1019</v>
      </c>
    </row>
    <row r="2261" spans="1:3" ht="15">
      <c r="A2261" s="77" t="s">
        <v>294</v>
      </c>
      <c r="B2261" s="76" t="s">
        <v>2573</v>
      </c>
      <c r="C2261" s="80" t="s">
        <v>1019</v>
      </c>
    </row>
    <row r="2262" spans="1:3" ht="15">
      <c r="A2262" s="77" t="s">
        <v>294</v>
      </c>
      <c r="B2262" s="76" t="s">
        <v>2527</v>
      </c>
      <c r="C2262" s="80" t="s">
        <v>1019</v>
      </c>
    </row>
    <row r="2263" spans="1:3" ht="15">
      <c r="A2263" s="77" t="s">
        <v>294</v>
      </c>
      <c r="B2263" s="76" t="s">
        <v>2568</v>
      </c>
      <c r="C2263" s="80" t="s">
        <v>1019</v>
      </c>
    </row>
    <row r="2264" spans="1:3" ht="15">
      <c r="A2264" s="77" t="s">
        <v>294</v>
      </c>
      <c r="B2264" s="76">
        <v>1972</v>
      </c>
      <c r="C2264" s="80" t="s">
        <v>1019</v>
      </c>
    </row>
    <row r="2265" spans="1:3" ht="15">
      <c r="A2265" s="77" t="s">
        <v>294</v>
      </c>
      <c r="B2265" s="76" t="s">
        <v>3792</v>
      </c>
      <c r="C2265" s="80" t="s">
        <v>1019</v>
      </c>
    </row>
    <row r="2266" spans="1:3" ht="15">
      <c r="A2266" s="77" t="s">
        <v>294</v>
      </c>
      <c r="B2266" s="76" t="s">
        <v>3793</v>
      </c>
      <c r="C2266" s="80" t="s">
        <v>1019</v>
      </c>
    </row>
    <row r="2267" spans="1:3" ht="15">
      <c r="A2267" s="77" t="s">
        <v>294</v>
      </c>
      <c r="B2267" s="76" t="s">
        <v>2476</v>
      </c>
      <c r="C2267" s="80" t="s">
        <v>1019</v>
      </c>
    </row>
    <row r="2268" spans="1:3" ht="15">
      <c r="A2268" s="77" t="s">
        <v>255</v>
      </c>
      <c r="B2268" s="76" t="s">
        <v>3794</v>
      </c>
      <c r="C2268" s="80" t="s">
        <v>976</v>
      </c>
    </row>
    <row r="2269" spans="1:3" ht="15">
      <c r="A2269" s="77" t="s">
        <v>255</v>
      </c>
      <c r="B2269" s="76" t="s">
        <v>2510</v>
      </c>
      <c r="C2269" s="80" t="s">
        <v>976</v>
      </c>
    </row>
    <row r="2270" spans="1:3" ht="15">
      <c r="A2270" s="77" t="s">
        <v>255</v>
      </c>
      <c r="B2270" s="76" t="s">
        <v>2514</v>
      </c>
      <c r="C2270" s="80" t="s">
        <v>976</v>
      </c>
    </row>
    <row r="2271" spans="1:3" ht="15">
      <c r="A2271" s="77" t="s">
        <v>255</v>
      </c>
      <c r="B2271" s="76" t="s">
        <v>3795</v>
      </c>
      <c r="C2271" s="80" t="s">
        <v>976</v>
      </c>
    </row>
    <row r="2272" spans="1:3" ht="15">
      <c r="A2272" s="77" t="s">
        <v>255</v>
      </c>
      <c r="B2272" s="76" t="s">
        <v>2492</v>
      </c>
      <c r="C2272" s="80" t="s">
        <v>976</v>
      </c>
    </row>
    <row r="2273" spans="1:3" ht="15">
      <c r="A2273" s="77" t="s">
        <v>255</v>
      </c>
      <c r="B2273" s="76" t="s">
        <v>2684</v>
      </c>
      <c r="C2273" s="80" t="s">
        <v>976</v>
      </c>
    </row>
    <row r="2274" spans="1:3" ht="15">
      <c r="A2274" s="77" t="s">
        <v>255</v>
      </c>
      <c r="B2274" s="76" t="s">
        <v>3796</v>
      </c>
      <c r="C2274" s="80" t="s">
        <v>976</v>
      </c>
    </row>
    <row r="2275" spans="1:3" ht="15">
      <c r="A2275" s="77" t="s">
        <v>255</v>
      </c>
      <c r="B2275" s="76" t="s">
        <v>2586</v>
      </c>
      <c r="C2275" s="80" t="s">
        <v>976</v>
      </c>
    </row>
    <row r="2276" spans="1:3" ht="15">
      <c r="A2276" s="77" t="s">
        <v>255</v>
      </c>
      <c r="B2276" s="76" t="s">
        <v>2438</v>
      </c>
      <c r="C2276" s="80" t="s">
        <v>976</v>
      </c>
    </row>
    <row r="2277" spans="1:3" ht="15">
      <c r="A2277" s="77" t="s">
        <v>255</v>
      </c>
      <c r="B2277" s="76" t="s">
        <v>3797</v>
      </c>
      <c r="C2277" s="80" t="s">
        <v>976</v>
      </c>
    </row>
    <row r="2278" spans="1:3" ht="15">
      <c r="A2278" s="77" t="s">
        <v>255</v>
      </c>
      <c r="B2278" s="76" t="s">
        <v>3798</v>
      </c>
      <c r="C2278" s="80" t="s">
        <v>976</v>
      </c>
    </row>
    <row r="2279" spans="1:3" ht="15">
      <c r="A2279" s="77" t="s">
        <v>255</v>
      </c>
      <c r="B2279" s="76" t="s">
        <v>2522</v>
      </c>
      <c r="C2279" s="80" t="s">
        <v>976</v>
      </c>
    </row>
    <row r="2280" spans="1:3" ht="15">
      <c r="A2280" s="77" t="s">
        <v>255</v>
      </c>
      <c r="B2280" s="76" t="s">
        <v>3799</v>
      </c>
      <c r="C2280" s="80" t="s">
        <v>976</v>
      </c>
    </row>
    <row r="2281" spans="1:3" ht="15">
      <c r="A2281" s="77" t="s">
        <v>255</v>
      </c>
      <c r="B2281" s="76" t="s">
        <v>3800</v>
      </c>
      <c r="C2281" s="80" t="s">
        <v>976</v>
      </c>
    </row>
    <row r="2282" spans="1:3" ht="15">
      <c r="A2282" s="77" t="s">
        <v>255</v>
      </c>
      <c r="B2282" s="76" t="s">
        <v>3801</v>
      </c>
      <c r="C2282" s="80" t="s">
        <v>976</v>
      </c>
    </row>
    <row r="2283" spans="1:3" ht="15">
      <c r="A2283" s="77" t="s">
        <v>255</v>
      </c>
      <c r="B2283" s="76" t="s">
        <v>3802</v>
      </c>
      <c r="C2283" s="80" t="s">
        <v>976</v>
      </c>
    </row>
    <row r="2284" spans="1:3" ht="15">
      <c r="A2284" s="77" t="s">
        <v>255</v>
      </c>
      <c r="B2284" s="76" t="s">
        <v>3803</v>
      </c>
      <c r="C2284" s="80" t="s">
        <v>976</v>
      </c>
    </row>
    <row r="2285" spans="1:3" ht="15">
      <c r="A2285" s="77" t="s">
        <v>255</v>
      </c>
      <c r="B2285" s="76" t="s">
        <v>2662</v>
      </c>
      <c r="C2285" s="80" t="s">
        <v>976</v>
      </c>
    </row>
    <row r="2286" spans="1:3" ht="15">
      <c r="A2286" s="77" t="s">
        <v>255</v>
      </c>
      <c r="B2286" s="76" t="s">
        <v>3804</v>
      </c>
      <c r="C2286" s="80" t="s">
        <v>976</v>
      </c>
    </row>
    <row r="2287" spans="1:3" ht="15">
      <c r="A2287" s="77" t="s">
        <v>255</v>
      </c>
      <c r="B2287" s="76" t="s">
        <v>2663</v>
      </c>
      <c r="C2287" s="80" t="s">
        <v>976</v>
      </c>
    </row>
    <row r="2288" spans="1:3" ht="15">
      <c r="A2288" s="77" t="s">
        <v>255</v>
      </c>
      <c r="B2288" s="76" t="s">
        <v>2718</v>
      </c>
      <c r="C2288" s="80" t="s">
        <v>976</v>
      </c>
    </row>
    <row r="2289" spans="1:3" ht="15">
      <c r="A2289" s="77" t="s">
        <v>255</v>
      </c>
      <c r="B2289" s="76" t="s">
        <v>3805</v>
      </c>
      <c r="C2289" s="80" t="s">
        <v>976</v>
      </c>
    </row>
    <row r="2290" spans="1:3" ht="15">
      <c r="A2290" s="77" t="s">
        <v>310</v>
      </c>
      <c r="B2290" s="76" t="s">
        <v>3806</v>
      </c>
      <c r="C2290" s="80" t="s">
        <v>1037</v>
      </c>
    </row>
    <row r="2291" spans="1:3" ht="15">
      <c r="A2291" s="77" t="s">
        <v>310</v>
      </c>
      <c r="B2291" s="76" t="s">
        <v>3807</v>
      </c>
      <c r="C2291" s="80" t="s">
        <v>1037</v>
      </c>
    </row>
    <row r="2292" spans="1:3" ht="15">
      <c r="A2292" s="77" t="s">
        <v>310</v>
      </c>
      <c r="B2292" s="76" t="s">
        <v>2438</v>
      </c>
      <c r="C2292" s="80" t="s">
        <v>1037</v>
      </c>
    </row>
    <row r="2293" spans="1:3" ht="15">
      <c r="A2293" s="77" t="s">
        <v>310</v>
      </c>
      <c r="B2293" s="76" t="s">
        <v>3808</v>
      </c>
      <c r="C2293" s="80" t="s">
        <v>1037</v>
      </c>
    </row>
    <row r="2294" spans="1:3" ht="15">
      <c r="A2294" s="77" t="s">
        <v>310</v>
      </c>
      <c r="B2294" s="76" t="s">
        <v>3809</v>
      </c>
      <c r="C2294" s="80" t="s">
        <v>1037</v>
      </c>
    </row>
    <row r="2295" spans="1:3" ht="15">
      <c r="A2295" s="77" t="s">
        <v>310</v>
      </c>
      <c r="B2295" s="76" t="s">
        <v>2652</v>
      </c>
      <c r="C2295" s="80" t="s">
        <v>1037</v>
      </c>
    </row>
    <row r="2296" spans="1:3" ht="15">
      <c r="A2296" s="77" t="s">
        <v>310</v>
      </c>
      <c r="B2296" s="76" t="s">
        <v>3810</v>
      </c>
      <c r="C2296" s="80" t="s">
        <v>1037</v>
      </c>
    </row>
    <row r="2297" spans="1:3" ht="15">
      <c r="A2297" s="77" t="s">
        <v>310</v>
      </c>
      <c r="B2297" s="76">
        <v>11</v>
      </c>
      <c r="C2297" s="80" t="s">
        <v>1037</v>
      </c>
    </row>
    <row r="2298" spans="1:3" ht="15">
      <c r="A2298" s="77" t="s">
        <v>310</v>
      </c>
      <c r="B2298" s="76" t="s">
        <v>2780</v>
      </c>
      <c r="C2298" s="80" t="s">
        <v>1037</v>
      </c>
    </row>
    <row r="2299" spans="1:3" ht="15">
      <c r="A2299" s="77" t="s">
        <v>310</v>
      </c>
      <c r="B2299" s="76" t="s">
        <v>2678</v>
      </c>
      <c r="C2299" s="80" t="s">
        <v>1037</v>
      </c>
    </row>
    <row r="2300" spans="1:3" ht="15">
      <c r="A2300" s="77" t="s">
        <v>310</v>
      </c>
      <c r="B2300" s="76">
        <v>0</v>
      </c>
      <c r="C2300" s="80" t="s">
        <v>1037</v>
      </c>
    </row>
    <row r="2301" spans="1:3" ht="15">
      <c r="A2301" s="77" t="s">
        <v>310</v>
      </c>
      <c r="B2301" s="76" t="s">
        <v>2446</v>
      </c>
      <c r="C2301" s="80" t="s">
        <v>1037</v>
      </c>
    </row>
    <row r="2302" spans="1:3" ht="15">
      <c r="A2302" s="77" t="s">
        <v>310</v>
      </c>
      <c r="B2302" s="76" t="s">
        <v>2581</v>
      </c>
      <c r="C2302" s="80" t="s">
        <v>1037</v>
      </c>
    </row>
    <row r="2303" spans="1:3" ht="15">
      <c r="A2303" s="77" t="s">
        <v>310</v>
      </c>
      <c r="B2303" s="76" t="s">
        <v>3811</v>
      </c>
      <c r="C2303" s="80" t="s">
        <v>1037</v>
      </c>
    </row>
    <row r="2304" spans="1:3" ht="15">
      <c r="A2304" s="77" t="s">
        <v>310</v>
      </c>
      <c r="B2304" s="76" t="s">
        <v>2476</v>
      </c>
      <c r="C2304" s="80" t="s">
        <v>1037</v>
      </c>
    </row>
    <row r="2305" spans="1:3" ht="15">
      <c r="A2305" s="77" t="s">
        <v>310</v>
      </c>
      <c r="B2305" s="76" t="s">
        <v>3812</v>
      </c>
      <c r="C2305" s="80" t="s">
        <v>1037</v>
      </c>
    </row>
    <row r="2306" spans="1:3" ht="15">
      <c r="A2306" s="77" t="s">
        <v>310</v>
      </c>
      <c r="B2306" s="76" t="s">
        <v>2626</v>
      </c>
      <c r="C2306" s="80" t="s">
        <v>1037</v>
      </c>
    </row>
    <row r="2307" spans="1:3" ht="15">
      <c r="A2307" s="77" t="s">
        <v>310</v>
      </c>
      <c r="B2307" s="76" t="s">
        <v>3813</v>
      </c>
      <c r="C2307" s="80" t="s">
        <v>1038</v>
      </c>
    </row>
    <row r="2308" spans="1:3" ht="15">
      <c r="A2308" s="77" t="s">
        <v>310</v>
      </c>
      <c r="B2308" s="76" t="s">
        <v>2653</v>
      </c>
      <c r="C2308" s="80" t="s">
        <v>1038</v>
      </c>
    </row>
    <row r="2309" spans="1:3" ht="15">
      <c r="A2309" s="77" t="s">
        <v>310</v>
      </c>
      <c r="B2309" s="76" t="s">
        <v>3814</v>
      </c>
      <c r="C2309" s="80" t="s">
        <v>1038</v>
      </c>
    </row>
    <row r="2310" spans="1:3" ht="15">
      <c r="A2310" s="77" t="s">
        <v>310</v>
      </c>
      <c r="B2310" s="76">
        <v>40</v>
      </c>
      <c r="C2310" s="80" t="s">
        <v>1038</v>
      </c>
    </row>
    <row r="2311" spans="1:3" ht="15">
      <c r="A2311" s="77" t="s">
        <v>310</v>
      </c>
      <c r="B2311" s="76" t="s">
        <v>2637</v>
      </c>
      <c r="C2311" s="80" t="s">
        <v>1038</v>
      </c>
    </row>
    <row r="2312" spans="1:3" ht="15">
      <c r="A2312" s="77" t="s">
        <v>310</v>
      </c>
      <c r="B2312" s="76" t="s">
        <v>3815</v>
      </c>
      <c r="C2312" s="80" t="s">
        <v>1038</v>
      </c>
    </row>
    <row r="2313" spans="1:3" ht="15">
      <c r="A2313" s="77" t="s">
        <v>310</v>
      </c>
      <c r="B2313" s="76" t="s">
        <v>2678</v>
      </c>
      <c r="C2313" s="80" t="s">
        <v>1038</v>
      </c>
    </row>
    <row r="2314" spans="1:3" ht="15">
      <c r="A2314" s="77" t="s">
        <v>310</v>
      </c>
      <c r="B2314" s="76" t="s">
        <v>2438</v>
      </c>
      <c r="C2314" s="80" t="s">
        <v>1038</v>
      </c>
    </row>
    <row r="2315" spans="1:3" ht="15">
      <c r="A2315" s="77" t="s">
        <v>310</v>
      </c>
      <c r="B2315" s="76" t="s">
        <v>2439</v>
      </c>
      <c r="C2315" s="80" t="s">
        <v>1038</v>
      </c>
    </row>
    <row r="2316" spans="1:3" ht="15">
      <c r="A2316" s="77" t="s">
        <v>293</v>
      </c>
      <c r="B2316" s="76" t="s">
        <v>3816</v>
      </c>
      <c r="C2316" s="80" t="s">
        <v>1018</v>
      </c>
    </row>
    <row r="2317" spans="1:3" ht="15">
      <c r="A2317" s="77" t="s">
        <v>293</v>
      </c>
      <c r="B2317" s="76" t="s">
        <v>2595</v>
      </c>
      <c r="C2317" s="80" t="s">
        <v>1018</v>
      </c>
    </row>
    <row r="2318" spans="1:3" ht="15">
      <c r="A2318" s="77" t="s">
        <v>293</v>
      </c>
      <c r="B2318" s="76" t="s">
        <v>2586</v>
      </c>
      <c r="C2318" s="80" t="s">
        <v>1018</v>
      </c>
    </row>
    <row r="2319" spans="1:3" ht="15">
      <c r="A2319" s="77" t="s">
        <v>293</v>
      </c>
      <c r="B2319" s="76" t="s">
        <v>2438</v>
      </c>
      <c r="C2319" s="80" t="s">
        <v>1018</v>
      </c>
    </row>
    <row r="2320" spans="1:3" ht="15">
      <c r="A2320" s="77" t="s">
        <v>293</v>
      </c>
      <c r="B2320" s="76" t="s">
        <v>2631</v>
      </c>
      <c r="C2320" s="80" t="s">
        <v>1018</v>
      </c>
    </row>
    <row r="2321" spans="1:3" ht="15">
      <c r="A2321" s="77" t="s">
        <v>293</v>
      </c>
      <c r="B2321" s="76" t="s">
        <v>3817</v>
      </c>
      <c r="C2321" s="80" t="s">
        <v>1018</v>
      </c>
    </row>
    <row r="2322" spans="1:3" ht="15">
      <c r="A2322" s="77" t="s">
        <v>293</v>
      </c>
      <c r="B2322" s="76" t="s">
        <v>3818</v>
      </c>
      <c r="C2322" s="80" t="s">
        <v>1018</v>
      </c>
    </row>
    <row r="2323" spans="1:3" ht="15">
      <c r="A2323" s="77" t="s">
        <v>293</v>
      </c>
      <c r="B2323" s="76" t="s">
        <v>2610</v>
      </c>
      <c r="C2323" s="80" t="s">
        <v>1018</v>
      </c>
    </row>
    <row r="2324" spans="1:3" ht="15">
      <c r="A2324" s="77" t="s">
        <v>293</v>
      </c>
      <c r="B2324" s="76" t="s">
        <v>2528</v>
      </c>
      <c r="C2324" s="80" t="s">
        <v>1018</v>
      </c>
    </row>
    <row r="2325" spans="1:3" ht="15">
      <c r="A2325" s="77" t="s">
        <v>258</v>
      </c>
      <c r="B2325" s="76" t="s">
        <v>586</v>
      </c>
      <c r="C2325" s="80" t="s">
        <v>979</v>
      </c>
    </row>
    <row r="2326" spans="1:3" ht="15">
      <c r="A2326" s="77" t="s">
        <v>258</v>
      </c>
      <c r="B2326" s="76" t="s">
        <v>3819</v>
      </c>
      <c r="C2326" s="80" t="s">
        <v>979</v>
      </c>
    </row>
    <row r="2327" spans="1:3" ht="15">
      <c r="A2327" s="77" t="s">
        <v>258</v>
      </c>
      <c r="B2327" s="76" t="s">
        <v>3820</v>
      </c>
      <c r="C2327" s="80" t="s">
        <v>979</v>
      </c>
    </row>
    <row r="2328" spans="1:3" ht="15">
      <c r="A2328" s="77" t="s">
        <v>258</v>
      </c>
      <c r="B2328" s="76" t="s">
        <v>3821</v>
      </c>
      <c r="C2328" s="80" t="s">
        <v>979</v>
      </c>
    </row>
    <row r="2329" spans="1:3" ht="15">
      <c r="A2329" s="77" t="s">
        <v>258</v>
      </c>
      <c r="B2329" s="76" t="s">
        <v>3822</v>
      </c>
      <c r="C2329" s="80" t="s">
        <v>979</v>
      </c>
    </row>
    <row r="2330" spans="1:3" ht="15">
      <c r="A2330" s="77" t="s">
        <v>258</v>
      </c>
      <c r="B2330" s="76" t="s">
        <v>2444</v>
      </c>
      <c r="C2330" s="80" t="s">
        <v>979</v>
      </c>
    </row>
    <row r="2331" spans="1:3" ht="15">
      <c r="A2331" s="77" t="s">
        <v>258</v>
      </c>
      <c r="B2331" s="76" t="s">
        <v>2438</v>
      </c>
      <c r="C2331" s="80" t="s">
        <v>979</v>
      </c>
    </row>
    <row r="2332" spans="1:3" ht="15">
      <c r="A2332" s="77" t="s">
        <v>258</v>
      </c>
      <c r="B2332" s="76" t="s">
        <v>2447</v>
      </c>
      <c r="C2332" s="80" t="s">
        <v>979</v>
      </c>
    </row>
    <row r="2333" spans="1:3" ht="15">
      <c r="A2333" s="77" t="s">
        <v>258</v>
      </c>
      <c r="B2333" s="76" t="s">
        <v>3823</v>
      </c>
      <c r="C2333" s="80" t="s">
        <v>979</v>
      </c>
    </row>
    <row r="2334" spans="1:3" ht="15">
      <c r="A2334" s="77" t="s">
        <v>258</v>
      </c>
      <c r="B2334" s="76" t="s">
        <v>2779</v>
      </c>
      <c r="C2334" s="80" t="s">
        <v>979</v>
      </c>
    </row>
    <row r="2335" spans="1:3" ht="15">
      <c r="A2335" s="77" t="s">
        <v>258</v>
      </c>
      <c r="B2335" s="76" t="s">
        <v>2548</v>
      </c>
      <c r="C2335" s="80" t="s">
        <v>979</v>
      </c>
    </row>
    <row r="2336" spans="1:3" ht="15">
      <c r="A2336" s="77" t="s">
        <v>283</v>
      </c>
      <c r="B2336" s="76" t="s">
        <v>2442</v>
      </c>
      <c r="C2336" s="80" t="s">
        <v>1006</v>
      </c>
    </row>
    <row r="2337" spans="1:3" ht="15">
      <c r="A2337" s="77" t="s">
        <v>283</v>
      </c>
      <c r="B2337" s="76" t="s">
        <v>2471</v>
      </c>
      <c r="C2337" s="80" t="s">
        <v>1006</v>
      </c>
    </row>
    <row r="2338" spans="1:3" ht="15">
      <c r="A2338" s="77" t="s">
        <v>283</v>
      </c>
      <c r="B2338" s="76" t="s">
        <v>2438</v>
      </c>
      <c r="C2338" s="80" t="s">
        <v>1006</v>
      </c>
    </row>
    <row r="2339" spans="1:3" ht="15">
      <c r="A2339" s="77" t="s">
        <v>283</v>
      </c>
      <c r="B2339" s="76" t="s">
        <v>2447</v>
      </c>
      <c r="C2339" s="80" t="s">
        <v>1006</v>
      </c>
    </row>
    <row r="2340" spans="1:3" ht="15">
      <c r="A2340" s="77" t="s">
        <v>283</v>
      </c>
      <c r="B2340" s="76" t="s">
        <v>3824</v>
      </c>
      <c r="C2340" s="80" t="s">
        <v>1006</v>
      </c>
    </row>
    <row r="2341" spans="1:3" ht="15">
      <c r="A2341" s="77" t="s">
        <v>283</v>
      </c>
      <c r="B2341" s="76" t="s">
        <v>3825</v>
      </c>
      <c r="C2341" s="80" t="s">
        <v>1006</v>
      </c>
    </row>
    <row r="2342" spans="1:3" ht="15">
      <c r="A2342" s="77" t="s">
        <v>283</v>
      </c>
      <c r="B2342" s="76" t="s">
        <v>3826</v>
      </c>
      <c r="C2342" s="80" t="s">
        <v>1006</v>
      </c>
    </row>
    <row r="2343" spans="1:3" ht="15">
      <c r="A2343" s="77" t="s">
        <v>283</v>
      </c>
      <c r="B2343" s="76" t="s">
        <v>3827</v>
      </c>
      <c r="C2343" s="80" t="s">
        <v>1006</v>
      </c>
    </row>
    <row r="2344" spans="1:3" ht="15">
      <c r="A2344" s="77" t="s">
        <v>283</v>
      </c>
      <c r="B2344" s="76" t="s">
        <v>2723</v>
      </c>
      <c r="C2344" s="80" t="s">
        <v>1006</v>
      </c>
    </row>
    <row r="2345" spans="1:3" ht="15">
      <c r="A2345" s="77" t="s">
        <v>283</v>
      </c>
      <c r="B2345" s="76" t="s">
        <v>2463</v>
      </c>
      <c r="C2345" s="80" t="s">
        <v>1006</v>
      </c>
    </row>
    <row r="2346" spans="1:3" ht="15">
      <c r="A2346" s="77" t="s">
        <v>283</v>
      </c>
      <c r="B2346" s="76" t="s">
        <v>2556</v>
      </c>
      <c r="C2346" s="80" t="s">
        <v>1006</v>
      </c>
    </row>
    <row r="2347" spans="1:3" ht="15">
      <c r="A2347" s="77" t="s">
        <v>283</v>
      </c>
      <c r="B2347" s="76" t="s">
        <v>2759</v>
      </c>
      <c r="C2347" s="80" t="s">
        <v>1006</v>
      </c>
    </row>
    <row r="2348" spans="1:3" ht="15">
      <c r="A2348" s="77" t="s">
        <v>283</v>
      </c>
      <c r="B2348" s="76" t="s">
        <v>3828</v>
      </c>
      <c r="C2348" s="80" t="s">
        <v>1006</v>
      </c>
    </row>
    <row r="2349" spans="1:3" ht="15">
      <c r="A2349" s="77" t="s">
        <v>283</v>
      </c>
      <c r="B2349" s="76" t="s">
        <v>3829</v>
      </c>
      <c r="C2349" s="80" t="s">
        <v>1006</v>
      </c>
    </row>
    <row r="2350" spans="1:3" ht="15">
      <c r="A2350" s="77" t="s">
        <v>283</v>
      </c>
      <c r="B2350" s="76" t="s">
        <v>3830</v>
      </c>
      <c r="C2350" s="80" t="s">
        <v>1006</v>
      </c>
    </row>
    <row r="2351" spans="1:3" ht="15">
      <c r="A2351" s="77" t="s">
        <v>283</v>
      </c>
      <c r="B2351" s="76" t="s">
        <v>3831</v>
      </c>
      <c r="C2351" s="80" t="s">
        <v>1006</v>
      </c>
    </row>
    <row r="2352" spans="1:3" ht="15">
      <c r="A2352" s="77" t="s">
        <v>283</v>
      </c>
      <c r="B2352" s="76" t="s">
        <v>2638</v>
      </c>
      <c r="C2352" s="80" t="s">
        <v>1006</v>
      </c>
    </row>
    <row r="2353" spans="1:3" ht="15">
      <c r="A2353" s="77" t="s">
        <v>283</v>
      </c>
      <c r="B2353" s="76" t="s">
        <v>3832</v>
      </c>
      <c r="C2353" s="80" t="s">
        <v>1006</v>
      </c>
    </row>
    <row r="2354" spans="1:3" ht="15">
      <c r="A2354" s="77" t="s">
        <v>283</v>
      </c>
      <c r="B2354" s="76" t="s">
        <v>2455</v>
      </c>
      <c r="C2354" s="80" t="s">
        <v>1006</v>
      </c>
    </row>
    <row r="2355" spans="1:3" ht="15">
      <c r="A2355" s="77" t="s">
        <v>283</v>
      </c>
      <c r="B2355" s="76" t="s">
        <v>2725</v>
      </c>
      <c r="C2355" s="80" t="s">
        <v>1006</v>
      </c>
    </row>
    <row r="2356" spans="1:3" ht="15">
      <c r="A2356" s="77" t="s">
        <v>283</v>
      </c>
      <c r="B2356" s="76" t="s">
        <v>2480</v>
      </c>
      <c r="C2356" s="80" t="s">
        <v>1006</v>
      </c>
    </row>
    <row r="2357" spans="1:3" ht="15">
      <c r="A2357" s="77" t="s">
        <v>283</v>
      </c>
      <c r="B2357" s="76" t="s">
        <v>2701</v>
      </c>
      <c r="C2357" s="80" t="s">
        <v>1006</v>
      </c>
    </row>
    <row r="2358" spans="1:3" ht="15">
      <c r="A2358" s="77" t="s">
        <v>283</v>
      </c>
      <c r="B2358" s="76" t="s">
        <v>2741</v>
      </c>
      <c r="C2358" s="80" t="s">
        <v>1006</v>
      </c>
    </row>
    <row r="2359" spans="1:3" ht="15">
      <c r="A2359" s="77" t="s">
        <v>283</v>
      </c>
      <c r="B2359" s="76" t="s">
        <v>389</v>
      </c>
      <c r="C2359" s="80" t="s">
        <v>1006</v>
      </c>
    </row>
    <row r="2360" spans="1:3" ht="15">
      <c r="A2360" s="77" t="s">
        <v>283</v>
      </c>
      <c r="B2360" s="76" t="s">
        <v>390</v>
      </c>
      <c r="C2360" s="80" t="s">
        <v>1006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BA89F-6290-4C74-8687-9DC887AD48D0}">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2429</v>
      </c>
      <c r="B1" s="7" t="s">
        <v>10942</v>
      </c>
    </row>
    <row r="2" spans="1:2" ht="15">
      <c r="A2" s="76">
        <v>0</v>
      </c>
      <c r="B2" s="76" t="s">
        <v>10943</v>
      </c>
    </row>
    <row r="3" spans="1:2" ht="15">
      <c r="A3" s="77">
        <v>1</v>
      </c>
      <c r="B3" s="76" t="s">
        <v>10943</v>
      </c>
    </row>
    <row r="4" spans="1:2" ht="15">
      <c r="A4" s="77">
        <v>2</v>
      </c>
      <c r="B4" s="76" t="s">
        <v>10943</v>
      </c>
    </row>
    <row r="5" spans="1:2" ht="15">
      <c r="A5" s="77">
        <v>3</v>
      </c>
      <c r="B5" s="76" t="s">
        <v>10943</v>
      </c>
    </row>
    <row r="6" spans="1:2" ht="15">
      <c r="A6" s="77">
        <v>4</v>
      </c>
      <c r="B6" s="76" t="s">
        <v>10943</v>
      </c>
    </row>
    <row r="7" spans="1:2" ht="15">
      <c r="A7" s="77">
        <v>5</v>
      </c>
      <c r="B7" s="76" t="s">
        <v>10943</v>
      </c>
    </row>
    <row r="8" spans="1:2" ht="15">
      <c r="A8" s="77">
        <v>6</v>
      </c>
      <c r="B8" s="76" t="s">
        <v>10943</v>
      </c>
    </row>
    <row r="9" spans="1:2" ht="15">
      <c r="A9" s="77">
        <v>7</v>
      </c>
      <c r="B9" s="76" t="s">
        <v>10943</v>
      </c>
    </row>
    <row r="10" spans="1:2" ht="15">
      <c r="A10" s="77">
        <v>8</v>
      </c>
      <c r="B10" s="76" t="s">
        <v>10943</v>
      </c>
    </row>
    <row r="11" spans="1:2" ht="15">
      <c r="A11" s="77">
        <v>9</v>
      </c>
      <c r="B11" s="76" t="s">
        <v>10943</v>
      </c>
    </row>
    <row r="12" spans="1:2" ht="15">
      <c r="A12" s="77" t="s">
        <v>3833</v>
      </c>
      <c r="B12" s="76" t="s">
        <v>10943</v>
      </c>
    </row>
    <row r="13" spans="1:2" ht="15">
      <c r="A13" s="77" t="s">
        <v>3834</v>
      </c>
      <c r="B13" s="76" t="s">
        <v>10943</v>
      </c>
    </row>
    <row r="14" spans="1:2" ht="15">
      <c r="A14" s="77" t="s">
        <v>3835</v>
      </c>
      <c r="B14" s="76" t="s">
        <v>10943</v>
      </c>
    </row>
    <row r="15" spans="1:2" ht="15">
      <c r="A15" s="77" t="s">
        <v>3836</v>
      </c>
      <c r="B15" s="76" t="s">
        <v>10943</v>
      </c>
    </row>
    <row r="16" spans="1:2" ht="15">
      <c r="A16" s="77" t="s">
        <v>3837</v>
      </c>
      <c r="B16" s="76" t="s">
        <v>10943</v>
      </c>
    </row>
    <row r="17" spans="1:2" ht="15">
      <c r="A17" s="77" t="s">
        <v>3838</v>
      </c>
      <c r="B17" s="76" t="s">
        <v>10943</v>
      </c>
    </row>
    <row r="18" spans="1:2" ht="15">
      <c r="A18" s="77" t="s">
        <v>3839</v>
      </c>
      <c r="B18" s="76" t="s">
        <v>10943</v>
      </c>
    </row>
    <row r="19" spans="1:2" ht="15">
      <c r="A19" s="77" t="s">
        <v>3840</v>
      </c>
      <c r="B19" s="76" t="s">
        <v>10943</v>
      </c>
    </row>
    <row r="20" spans="1:2" ht="15">
      <c r="A20" s="77" t="s">
        <v>3841</v>
      </c>
      <c r="B20" s="76" t="s">
        <v>10943</v>
      </c>
    </row>
    <row r="21" spans="1:2" ht="15">
      <c r="A21" s="77" t="s">
        <v>3842</v>
      </c>
      <c r="B21" s="76" t="s">
        <v>10943</v>
      </c>
    </row>
    <row r="22" spans="1:2" ht="15">
      <c r="A22" s="77" t="s">
        <v>3843</v>
      </c>
      <c r="B22" s="76" t="s">
        <v>10943</v>
      </c>
    </row>
    <row r="23" spans="1:2" ht="15">
      <c r="A23" s="77" t="s">
        <v>3844</v>
      </c>
      <c r="B23" s="76" t="s">
        <v>10943</v>
      </c>
    </row>
    <row r="24" spans="1:2" ht="15">
      <c r="A24" s="77" t="s">
        <v>3845</v>
      </c>
      <c r="B24" s="76" t="s">
        <v>10943</v>
      </c>
    </row>
    <row r="25" spans="1:2" ht="15">
      <c r="A25" s="77" t="s">
        <v>3846</v>
      </c>
      <c r="B25" s="76" t="s">
        <v>10943</v>
      </c>
    </row>
    <row r="26" spans="1:2" ht="15">
      <c r="A26" s="77" t="s">
        <v>3847</v>
      </c>
      <c r="B26" s="76" t="s">
        <v>10943</v>
      </c>
    </row>
    <row r="27" spans="1:2" ht="15">
      <c r="A27" s="77" t="s">
        <v>3848</v>
      </c>
      <c r="B27" s="76" t="s">
        <v>10943</v>
      </c>
    </row>
    <row r="28" spans="1:2" ht="15">
      <c r="A28" s="77" t="s">
        <v>3849</v>
      </c>
      <c r="B28" s="76" t="s">
        <v>10943</v>
      </c>
    </row>
    <row r="29" spans="1:2" ht="15">
      <c r="A29" s="77" t="s">
        <v>3850</v>
      </c>
      <c r="B29" s="76" t="s">
        <v>10943</v>
      </c>
    </row>
    <row r="30" spans="1:2" ht="15">
      <c r="A30" s="77" t="s">
        <v>3851</v>
      </c>
      <c r="B30" s="76" t="s">
        <v>10943</v>
      </c>
    </row>
    <row r="31" spans="1:2" ht="15">
      <c r="A31" s="77" t="s">
        <v>3852</v>
      </c>
      <c r="B31" s="76" t="s">
        <v>10943</v>
      </c>
    </row>
    <row r="32" spans="1:2" ht="15">
      <c r="A32" s="77" t="s">
        <v>3853</v>
      </c>
      <c r="B32" s="76" t="s">
        <v>10943</v>
      </c>
    </row>
    <row r="33" spans="1:2" ht="15">
      <c r="A33" s="77" t="s">
        <v>3854</v>
      </c>
      <c r="B33" s="76" t="s">
        <v>10943</v>
      </c>
    </row>
    <row r="34" spans="1:2" ht="15">
      <c r="A34" s="77" t="s">
        <v>3855</v>
      </c>
      <c r="B34" s="76" t="s">
        <v>10943</v>
      </c>
    </row>
    <row r="35" spans="1:2" ht="15">
      <c r="A35" s="77" t="s">
        <v>3856</v>
      </c>
      <c r="B35" s="76" t="s">
        <v>10943</v>
      </c>
    </row>
    <row r="36" spans="1:2" ht="15">
      <c r="A36" s="77" t="s">
        <v>3857</v>
      </c>
      <c r="B36" s="76" t="s">
        <v>10943</v>
      </c>
    </row>
    <row r="37" spans="1:2" ht="15">
      <c r="A37" s="77" t="s">
        <v>3858</v>
      </c>
      <c r="B37" s="76" t="s">
        <v>10943</v>
      </c>
    </row>
    <row r="38" spans="1:2" ht="15">
      <c r="A38" s="77" t="s">
        <v>3859</v>
      </c>
      <c r="B38" s="76" t="s">
        <v>10943</v>
      </c>
    </row>
    <row r="39" spans="1:2" ht="15">
      <c r="A39" s="77" t="s">
        <v>3860</v>
      </c>
      <c r="B39" s="76" t="s">
        <v>10943</v>
      </c>
    </row>
    <row r="40" spans="1:2" ht="15">
      <c r="A40" s="77" t="s">
        <v>3861</v>
      </c>
      <c r="B40" s="76" t="s">
        <v>10943</v>
      </c>
    </row>
    <row r="41" spans="1:2" ht="15">
      <c r="A41" s="77" t="s">
        <v>3862</v>
      </c>
      <c r="B41" s="76" t="s">
        <v>10943</v>
      </c>
    </row>
    <row r="42" spans="1:2" ht="15">
      <c r="A42" s="77" t="s">
        <v>3863</v>
      </c>
      <c r="B42" s="76" t="s">
        <v>10943</v>
      </c>
    </row>
    <row r="43" spans="1:2" ht="15">
      <c r="A43" s="77" t="s">
        <v>3864</v>
      </c>
      <c r="B43" s="76" t="s">
        <v>10943</v>
      </c>
    </row>
    <row r="44" spans="1:2" ht="15">
      <c r="A44" s="77" t="s">
        <v>3865</v>
      </c>
      <c r="B44" s="76" t="s">
        <v>10943</v>
      </c>
    </row>
    <row r="45" spans="1:2" ht="15">
      <c r="A45" s="77" t="s">
        <v>3866</v>
      </c>
      <c r="B45" s="76" t="s">
        <v>10943</v>
      </c>
    </row>
    <row r="46" spans="1:2" ht="15">
      <c r="A46" s="77" t="s">
        <v>3867</v>
      </c>
      <c r="B46" s="76" t="s">
        <v>10943</v>
      </c>
    </row>
    <row r="47" spans="1:2" ht="15">
      <c r="A47" s="77" t="s">
        <v>3868</v>
      </c>
      <c r="B47" s="76" t="s">
        <v>10943</v>
      </c>
    </row>
    <row r="48" spans="1:2" ht="15">
      <c r="A48" s="77" t="s">
        <v>3869</v>
      </c>
      <c r="B48" s="76" t="s">
        <v>10943</v>
      </c>
    </row>
    <row r="49" spans="1:2" ht="15">
      <c r="A49" s="77" t="s">
        <v>3870</v>
      </c>
      <c r="B49" s="76" t="s">
        <v>10943</v>
      </c>
    </row>
    <row r="50" spans="1:2" ht="15">
      <c r="A50" s="77" t="s">
        <v>3871</v>
      </c>
      <c r="B50" s="76" t="s">
        <v>10943</v>
      </c>
    </row>
    <row r="51" spans="1:2" ht="15">
      <c r="A51" s="77" t="s">
        <v>3872</v>
      </c>
      <c r="B51" s="76" t="s">
        <v>10943</v>
      </c>
    </row>
    <row r="52" spans="1:2" ht="15">
      <c r="A52" s="77" t="s">
        <v>3873</v>
      </c>
      <c r="B52" s="76" t="s">
        <v>10943</v>
      </c>
    </row>
    <row r="53" spans="1:2" ht="15">
      <c r="A53" s="77" t="s">
        <v>3874</v>
      </c>
      <c r="B53" s="76" t="s">
        <v>10943</v>
      </c>
    </row>
    <row r="54" spans="1:2" ht="15">
      <c r="A54" s="77" t="s">
        <v>3875</v>
      </c>
      <c r="B54" s="76" t="s">
        <v>10943</v>
      </c>
    </row>
    <row r="55" spans="1:2" ht="15">
      <c r="A55" s="77" t="s">
        <v>3876</v>
      </c>
      <c r="B55" s="76" t="s">
        <v>10943</v>
      </c>
    </row>
    <row r="56" spans="1:2" ht="15">
      <c r="A56" s="77" t="s">
        <v>3877</v>
      </c>
      <c r="B56" s="76" t="s">
        <v>10943</v>
      </c>
    </row>
    <row r="57" spans="1:2" ht="15">
      <c r="A57" s="77" t="s">
        <v>3878</v>
      </c>
      <c r="B57" s="76" t="s">
        <v>10943</v>
      </c>
    </row>
    <row r="58" spans="1:2" ht="15">
      <c r="A58" s="77" t="s">
        <v>3879</v>
      </c>
      <c r="B58" s="76" t="s">
        <v>10943</v>
      </c>
    </row>
    <row r="59" spans="1:2" ht="15">
      <c r="A59" s="77" t="s">
        <v>3880</v>
      </c>
      <c r="B59" s="76" t="s">
        <v>10943</v>
      </c>
    </row>
    <row r="60" spans="1:2" ht="15">
      <c r="A60" s="77" t="s">
        <v>3881</v>
      </c>
      <c r="B60" s="76" t="s">
        <v>10943</v>
      </c>
    </row>
    <row r="61" spans="1:2" ht="15">
      <c r="A61" s="77" t="s">
        <v>3882</v>
      </c>
      <c r="B61" s="76" t="s">
        <v>10943</v>
      </c>
    </row>
    <row r="62" spans="1:2" ht="15">
      <c r="A62" s="77" t="s">
        <v>3883</v>
      </c>
      <c r="B62" s="76" t="s">
        <v>10943</v>
      </c>
    </row>
    <row r="63" spans="1:2" ht="15">
      <c r="A63" s="77" t="s">
        <v>3884</v>
      </c>
      <c r="B63" s="76" t="s">
        <v>10943</v>
      </c>
    </row>
    <row r="64" spans="1:2" ht="15">
      <c r="A64" s="77" t="s">
        <v>3885</v>
      </c>
      <c r="B64" s="76" t="s">
        <v>10943</v>
      </c>
    </row>
    <row r="65" spans="1:2" ht="15">
      <c r="A65" s="77" t="s">
        <v>3886</v>
      </c>
      <c r="B65" s="76" t="s">
        <v>10943</v>
      </c>
    </row>
    <row r="66" spans="1:2" ht="15">
      <c r="A66" s="77" t="s">
        <v>3887</v>
      </c>
      <c r="B66" s="76" t="s">
        <v>10943</v>
      </c>
    </row>
    <row r="67" spans="1:2" ht="15">
      <c r="A67" s="77" t="s">
        <v>3888</v>
      </c>
      <c r="B67" s="76" t="s">
        <v>10943</v>
      </c>
    </row>
    <row r="68" spans="1:2" ht="15">
      <c r="A68" s="77" t="s">
        <v>3889</v>
      </c>
      <c r="B68" s="76" t="s">
        <v>10943</v>
      </c>
    </row>
    <row r="69" spans="1:2" ht="15">
      <c r="A69" s="77" t="s">
        <v>3890</v>
      </c>
      <c r="B69" s="76" t="s">
        <v>10943</v>
      </c>
    </row>
    <row r="70" spans="1:2" ht="15">
      <c r="A70" s="77" t="s">
        <v>3891</v>
      </c>
      <c r="B70" s="76" t="s">
        <v>10943</v>
      </c>
    </row>
    <row r="71" spans="1:2" ht="15">
      <c r="A71" s="77" t="s">
        <v>3892</v>
      </c>
      <c r="B71" s="76" t="s">
        <v>10943</v>
      </c>
    </row>
    <row r="72" spans="1:2" ht="15">
      <c r="A72" s="77" t="s">
        <v>3893</v>
      </c>
      <c r="B72" s="76" t="s">
        <v>10943</v>
      </c>
    </row>
    <row r="73" spans="1:2" ht="15">
      <c r="A73" s="77" t="s">
        <v>3894</v>
      </c>
      <c r="B73" s="76" t="s">
        <v>10943</v>
      </c>
    </row>
    <row r="74" spans="1:2" ht="15">
      <c r="A74" s="77" t="s">
        <v>3895</v>
      </c>
      <c r="B74" s="76" t="s">
        <v>10943</v>
      </c>
    </row>
    <row r="75" spans="1:2" ht="15">
      <c r="A75" s="77" t="s">
        <v>3896</v>
      </c>
      <c r="B75" s="76" t="s">
        <v>10943</v>
      </c>
    </row>
    <row r="76" spans="1:2" ht="15">
      <c r="A76" s="77" t="s">
        <v>3897</v>
      </c>
      <c r="B76" s="76" t="s">
        <v>10943</v>
      </c>
    </row>
    <row r="77" spans="1:2" ht="15">
      <c r="A77" s="77" t="s">
        <v>3898</v>
      </c>
      <c r="B77" s="76" t="s">
        <v>10943</v>
      </c>
    </row>
    <row r="78" spans="1:2" ht="15">
      <c r="A78" s="77" t="s">
        <v>3899</v>
      </c>
      <c r="B78" s="76" t="s">
        <v>10943</v>
      </c>
    </row>
    <row r="79" spans="1:2" ht="15">
      <c r="A79" s="77" t="s">
        <v>3900</v>
      </c>
      <c r="B79" s="76" t="s">
        <v>10943</v>
      </c>
    </row>
    <row r="80" spans="1:2" ht="15">
      <c r="A80" s="77" t="s">
        <v>3901</v>
      </c>
      <c r="B80" s="76" t="s">
        <v>10943</v>
      </c>
    </row>
    <row r="81" spans="1:2" ht="15">
      <c r="A81" s="77" t="s">
        <v>3902</v>
      </c>
      <c r="B81" s="76" t="s">
        <v>10943</v>
      </c>
    </row>
    <row r="82" spans="1:2" ht="15">
      <c r="A82" s="77" t="s">
        <v>3903</v>
      </c>
      <c r="B82" s="76" t="s">
        <v>10943</v>
      </c>
    </row>
    <row r="83" spans="1:2" ht="15">
      <c r="A83" s="77" t="s">
        <v>3904</v>
      </c>
      <c r="B83" s="76" t="s">
        <v>10943</v>
      </c>
    </row>
    <row r="84" spans="1:2" ht="15">
      <c r="A84" s="77" t="s">
        <v>3905</v>
      </c>
      <c r="B84" s="76" t="s">
        <v>10943</v>
      </c>
    </row>
    <row r="85" spans="1:2" ht="15">
      <c r="A85" s="77" t="s">
        <v>3906</v>
      </c>
      <c r="B85" s="76" t="s">
        <v>10943</v>
      </c>
    </row>
    <row r="86" spans="1:2" ht="15">
      <c r="A86" s="77" t="s">
        <v>3907</v>
      </c>
      <c r="B86" s="76" t="s">
        <v>10943</v>
      </c>
    </row>
    <row r="87" spans="1:2" ht="15">
      <c r="A87" s="77" t="s">
        <v>3908</v>
      </c>
      <c r="B87" s="76" t="s">
        <v>10943</v>
      </c>
    </row>
    <row r="88" spans="1:2" ht="15">
      <c r="A88" s="77" t="s">
        <v>3909</v>
      </c>
      <c r="B88" s="76" t="s">
        <v>10943</v>
      </c>
    </row>
    <row r="89" spans="1:2" ht="15">
      <c r="A89" s="77" t="s">
        <v>3910</v>
      </c>
      <c r="B89" s="76" t="s">
        <v>10943</v>
      </c>
    </row>
    <row r="90" spans="1:2" ht="15">
      <c r="A90" s="77" t="s">
        <v>3911</v>
      </c>
      <c r="B90" s="76" t="s">
        <v>10943</v>
      </c>
    </row>
    <row r="91" spans="1:2" ht="15">
      <c r="A91" s="77" t="s">
        <v>3912</v>
      </c>
      <c r="B91" s="76" t="s">
        <v>10943</v>
      </c>
    </row>
    <row r="92" spans="1:2" ht="15">
      <c r="A92" s="77" t="s">
        <v>3913</v>
      </c>
      <c r="B92" s="76" t="s">
        <v>10943</v>
      </c>
    </row>
    <row r="93" spans="1:2" ht="15">
      <c r="A93" s="77" t="s">
        <v>3914</v>
      </c>
      <c r="B93" s="76" t="s">
        <v>10943</v>
      </c>
    </row>
    <row r="94" spans="1:2" ht="15">
      <c r="A94" s="77" t="s">
        <v>3915</v>
      </c>
      <c r="B94" s="76" t="s">
        <v>10943</v>
      </c>
    </row>
    <row r="95" spans="1:2" ht="15">
      <c r="A95" s="77" t="s">
        <v>3916</v>
      </c>
      <c r="B95" s="76" t="s">
        <v>10943</v>
      </c>
    </row>
    <row r="96" spans="1:2" ht="15">
      <c r="A96" s="77" t="s">
        <v>3917</v>
      </c>
      <c r="B96" s="76" t="s">
        <v>10943</v>
      </c>
    </row>
    <row r="97" spans="1:2" ht="15">
      <c r="A97" s="77" t="s">
        <v>3918</v>
      </c>
      <c r="B97" s="76" t="s">
        <v>10943</v>
      </c>
    </row>
    <row r="98" spans="1:2" ht="15">
      <c r="A98" s="77" t="s">
        <v>3919</v>
      </c>
      <c r="B98" s="76" t="s">
        <v>10943</v>
      </c>
    </row>
    <row r="99" spans="1:2" ht="15">
      <c r="A99" s="77" t="s">
        <v>3920</v>
      </c>
      <c r="B99" s="76" t="s">
        <v>10943</v>
      </c>
    </row>
    <row r="100" spans="1:2" ht="15">
      <c r="A100" s="77" t="s">
        <v>3921</v>
      </c>
      <c r="B100" s="76" t="s">
        <v>10943</v>
      </c>
    </row>
    <row r="101" spans="1:2" ht="15">
      <c r="A101" s="77" t="s">
        <v>3922</v>
      </c>
      <c r="B101" s="76" t="s">
        <v>10943</v>
      </c>
    </row>
    <row r="102" spans="1:2" ht="15">
      <c r="A102" s="77" t="s">
        <v>3923</v>
      </c>
      <c r="B102" s="76" t="s">
        <v>10943</v>
      </c>
    </row>
    <row r="103" spans="1:2" ht="15">
      <c r="A103" s="77" t="s">
        <v>3924</v>
      </c>
      <c r="B103" s="76" t="s">
        <v>10943</v>
      </c>
    </row>
    <row r="104" spans="1:2" ht="15">
      <c r="A104" s="77" t="s">
        <v>3925</v>
      </c>
      <c r="B104" s="76" t="s">
        <v>10943</v>
      </c>
    </row>
    <row r="105" spans="1:2" ht="15">
      <c r="A105" s="77" t="s">
        <v>3926</v>
      </c>
      <c r="B105" s="76" t="s">
        <v>10943</v>
      </c>
    </row>
    <row r="106" spans="1:2" ht="15">
      <c r="A106" s="77" t="s">
        <v>3927</v>
      </c>
      <c r="B106" s="76" t="s">
        <v>10943</v>
      </c>
    </row>
    <row r="107" spans="1:2" ht="15">
      <c r="A107" s="77" t="s">
        <v>3928</v>
      </c>
      <c r="B107" s="76" t="s">
        <v>10943</v>
      </c>
    </row>
    <row r="108" spans="1:2" ht="15">
      <c r="A108" s="77" t="s">
        <v>3929</v>
      </c>
      <c r="B108" s="76" t="s">
        <v>10943</v>
      </c>
    </row>
    <row r="109" spans="1:2" ht="15">
      <c r="A109" s="77" t="s">
        <v>3930</v>
      </c>
      <c r="B109" s="76" t="s">
        <v>10943</v>
      </c>
    </row>
    <row r="110" spans="1:2" ht="15">
      <c r="A110" s="77" t="s">
        <v>3931</v>
      </c>
      <c r="B110" s="76" t="s">
        <v>10943</v>
      </c>
    </row>
    <row r="111" spans="1:2" ht="15">
      <c r="A111" s="77" t="s">
        <v>3932</v>
      </c>
      <c r="B111" s="76" t="s">
        <v>10943</v>
      </c>
    </row>
    <row r="112" spans="1:2" ht="15">
      <c r="A112" s="77" t="s">
        <v>3933</v>
      </c>
      <c r="B112" s="76" t="s">
        <v>10943</v>
      </c>
    </row>
    <row r="113" spans="1:2" ht="15">
      <c r="A113" s="77" t="s">
        <v>3934</v>
      </c>
      <c r="B113" s="76" t="s">
        <v>10943</v>
      </c>
    </row>
    <row r="114" spans="1:2" ht="15">
      <c r="A114" s="77" t="s">
        <v>3935</v>
      </c>
      <c r="B114" s="76" t="s">
        <v>10943</v>
      </c>
    </row>
    <row r="115" spans="1:2" ht="15">
      <c r="A115" s="77" t="s">
        <v>3936</v>
      </c>
      <c r="B115" s="76" t="s">
        <v>10943</v>
      </c>
    </row>
    <row r="116" spans="1:2" ht="15">
      <c r="A116" s="77" t="s">
        <v>3937</v>
      </c>
      <c r="B116" s="76" t="s">
        <v>10943</v>
      </c>
    </row>
    <row r="117" spans="1:2" ht="15">
      <c r="A117" s="77" t="s">
        <v>3938</v>
      </c>
      <c r="B117" s="76" t="s">
        <v>10943</v>
      </c>
    </row>
    <row r="118" spans="1:2" ht="15">
      <c r="A118" s="77" t="s">
        <v>3939</v>
      </c>
      <c r="B118" s="76" t="s">
        <v>10943</v>
      </c>
    </row>
    <row r="119" spans="1:2" ht="15">
      <c r="A119" s="77" t="s">
        <v>3940</v>
      </c>
      <c r="B119" s="76" t="s">
        <v>10943</v>
      </c>
    </row>
    <row r="120" spans="1:2" ht="15">
      <c r="A120" s="77" t="s">
        <v>3941</v>
      </c>
      <c r="B120" s="76" t="s">
        <v>10943</v>
      </c>
    </row>
    <row r="121" spans="1:2" ht="15">
      <c r="A121" s="77" t="s">
        <v>3942</v>
      </c>
      <c r="B121" s="76" t="s">
        <v>10943</v>
      </c>
    </row>
    <row r="122" spans="1:2" ht="15">
      <c r="A122" s="77" t="s">
        <v>3943</v>
      </c>
      <c r="B122" s="76" t="s">
        <v>10943</v>
      </c>
    </row>
    <row r="123" spans="1:2" ht="15">
      <c r="A123" s="77" t="s">
        <v>3944</v>
      </c>
      <c r="B123" s="76" t="s">
        <v>10943</v>
      </c>
    </row>
    <row r="124" spans="1:2" ht="15">
      <c r="A124" s="77" t="s">
        <v>3945</v>
      </c>
      <c r="B124" s="76" t="s">
        <v>10943</v>
      </c>
    </row>
    <row r="125" spans="1:2" ht="15">
      <c r="A125" s="77" t="s">
        <v>3946</v>
      </c>
      <c r="B125" s="76" t="s">
        <v>10943</v>
      </c>
    </row>
    <row r="126" spans="1:2" ht="15">
      <c r="A126" s="77" t="s">
        <v>3947</v>
      </c>
      <c r="B126" s="76" t="s">
        <v>10943</v>
      </c>
    </row>
    <row r="127" spans="1:2" ht="15">
      <c r="A127" s="77" t="s">
        <v>3948</v>
      </c>
      <c r="B127" s="76" t="s">
        <v>10943</v>
      </c>
    </row>
    <row r="128" spans="1:2" ht="15">
      <c r="A128" s="77" t="s">
        <v>3949</v>
      </c>
      <c r="B128" s="76" t="s">
        <v>10943</v>
      </c>
    </row>
    <row r="129" spans="1:2" ht="15">
      <c r="A129" s="77" t="s">
        <v>3950</v>
      </c>
      <c r="B129" s="76" t="s">
        <v>10943</v>
      </c>
    </row>
    <row r="130" spans="1:2" ht="15">
      <c r="A130" s="77" t="s">
        <v>3951</v>
      </c>
      <c r="B130" s="76" t="s">
        <v>10943</v>
      </c>
    </row>
    <row r="131" spans="1:2" ht="15">
      <c r="A131" s="77" t="s">
        <v>3952</v>
      </c>
      <c r="B131" s="76" t="s">
        <v>10943</v>
      </c>
    </row>
    <row r="132" spans="1:2" ht="15">
      <c r="A132" s="77" t="s">
        <v>3953</v>
      </c>
      <c r="B132" s="76" t="s">
        <v>10943</v>
      </c>
    </row>
    <row r="133" spans="1:2" ht="15">
      <c r="A133" s="77" t="s">
        <v>3954</v>
      </c>
      <c r="B133" s="76" t="s">
        <v>10943</v>
      </c>
    </row>
    <row r="134" spans="1:2" ht="15">
      <c r="A134" s="77" t="s">
        <v>3955</v>
      </c>
      <c r="B134" s="76" t="s">
        <v>10943</v>
      </c>
    </row>
    <row r="135" spans="1:2" ht="15">
      <c r="A135" s="77" t="s">
        <v>3956</v>
      </c>
      <c r="B135" s="76" t="s">
        <v>10943</v>
      </c>
    </row>
    <row r="136" spans="1:2" ht="15">
      <c r="A136" s="77" t="s">
        <v>3957</v>
      </c>
      <c r="B136" s="76" t="s">
        <v>10943</v>
      </c>
    </row>
    <row r="137" spans="1:2" ht="15">
      <c r="A137" s="77" t="s">
        <v>3958</v>
      </c>
      <c r="B137" s="76" t="s">
        <v>10943</v>
      </c>
    </row>
    <row r="138" spans="1:2" ht="15">
      <c r="A138" s="77" t="s">
        <v>3959</v>
      </c>
      <c r="B138" s="76" t="s">
        <v>10943</v>
      </c>
    </row>
    <row r="139" spans="1:2" ht="15">
      <c r="A139" s="77" t="s">
        <v>3960</v>
      </c>
      <c r="B139" s="76" t="s">
        <v>10943</v>
      </c>
    </row>
    <row r="140" spans="1:2" ht="15">
      <c r="A140" s="77" t="s">
        <v>686</v>
      </c>
      <c r="B140" s="76" t="s">
        <v>10943</v>
      </c>
    </row>
    <row r="141" spans="1:2" ht="15">
      <c r="A141" s="77" t="s">
        <v>3961</v>
      </c>
      <c r="B141" s="76" t="s">
        <v>10943</v>
      </c>
    </row>
    <row r="142" spans="1:2" ht="15">
      <c r="A142" s="77" t="s">
        <v>3962</v>
      </c>
      <c r="B142" s="76" t="s">
        <v>10943</v>
      </c>
    </row>
    <row r="143" spans="1:2" ht="15">
      <c r="A143" s="77" t="s">
        <v>3963</v>
      </c>
      <c r="B143" s="76" t="s">
        <v>10943</v>
      </c>
    </row>
    <row r="144" spans="1:2" ht="15">
      <c r="A144" s="77" t="s">
        <v>3964</v>
      </c>
      <c r="B144" s="76" t="s">
        <v>10943</v>
      </c>
    </row>
    <row r="145" spans="1:2" ht="15">
      <c r="A145" s="77" t="s">
        <v>3965</v>
      </c>
      <c r="B145" s="76" t="s">
        <v>10943</v>
      </c>
    </row>
    <row r="146" spans="1:2" ht="15">
      <c r="A146" s="77" t="s">
        <v>3966</v>
      </c>
      <c r="B146" s="76" t="s">
        <v>10943</v>
      </c>
    </row>
    <row r="147" spans="1:2" ht="15">
      <c r="A147" s="77" t="s">
        <v>3967</v>
      </c>
      <c r="B147" s="76" t="s">
        <v>10943</v>
      </c>
    </row>
    <row r="148" spans="1:2" ht="15">
      <c r="A148" s="77" t="s">
        <v>3968</v>
      </c>
      <c r="B148" s="76" t="s">
        <v>10943</v>
      </c>
    </row>
    <row r="149" spans="1:2" ht="15">
      <c r="A149" s="77" t="s">
        <v>3969</v>
      </c>
      <c r="B149" s="76" t="s">
        <v>10943</v>
      </c>
    </row>
    <row r="150" spans="1:2" ht="15">
      <c r="A150" s="77" t="s">
        <v>3970</v>
      </c>
      <c r="B150" s="76" t="s">
        <v>10943</v>
      </c>
    </row>
    <row r="151" spans="1:2" ht="15">
      <c r="A151" s="77" t="s">
        <v>3971</v>
      </c>
      <c r="B151" s="76" t="s">
        <v>10943</v>
      </c>
    </row>
    <row r="152" spans="1:2" ht="15">
      <c r="A152" s="77" t="s">
        <v>3972</v>
      </c>
      <c r="B152" s="76" t="s">
        <v>10943</v>
      </c>
    </row>
    <row r="153" spans="1:2" ht="15">
      <c r="A153" s="77" t="s">
        <v>3973</v>
      </c>
      <c r="B153" s="76" t="s">
        <v>10943</v>
      </c>
    </row>
    <row r="154" spans="1:2" ht="15">
      <c r="A154" s="77" t="s">
        <v>3974</v>
      </c>
      <c r="B154" s="76" t="s">
        <v>10943</v>
      </c>
    </row>
    <row r="155" spans="1:2" ht="15">
      <c r="A155" s="77" t="s">
        <v>3975</v>
      </c>
      <c r="B155" s="76" t="s">
        <v>10943</v>
      </c>
    </row>
    <row r="156" spans="1:2" ht="15">
      <c r="A156" s="77" t="s">
        <v>3976</v>
      </c>
      <c r="B156" s="76" t="s">
        <v>10943</v>
      </c>
    </row>
    <row r="157" spans="1:2" ht="15">
      <c r="A157" s="77" t="s">
        <v>3977</v>
      </c>
      <c r="B157" s="76" t="s">
        <v>10943</v>
      </c>
    </row>
    <row r="158" spans="1:2" ht="15">
      <c r="A158" s="77" t="s">
        <v>3978</v>
      </c>
      <c r="B158" s="76" t="s">
        <v>10943</v>
      </c>
    </row>
    <row r="159" spans="1:2" ht="15">
      <c r="A159" s="77" t="s">
        <v>3979</v>
      </c>
      <c r="B159" s="76" t="s">
        <v>10943</v>
      </c>
    </row>
    <row r="160" spans="1:2" ht="15">
      <c r="A160" s="77" t="s">
        <v>3980</v>
      </c>
      <c r="B160" s="76" t="s">
        <v>10943</v>
      </c>
    </row>
    <row r="161" spans="1:2" ht="15">
      <c r="A161" s="77" t="s">
        <v>3981</v>
      </c>
      <c r="B161" s="76" t="s">
        <v>10943</v>
      </c>
    </row>
    <row r="162" spans="1:2" ht="15">
      <c r="A162" s="77" t="s">
        <v>3982</v>
      </c>
      <c r="B162" s="76" t="s">
        <v>10943</v>
      </c>
    </row>
    <row r="163" spans="1:2" ht="15">
      <c r="A163" s="77" t="s">
        <v>3983</v>
      </c>
      <c r="B163" s="76" t="s">
        <v>10943</v>
      </c>
    </row>
    <row r="164" spans="1:2" ht="15">
      <c r="A164" s="77" t="s">
        <v>3984</v>
      </c>
      <c r="B164" s="76" t="s">
        <v>10943</v>
      </c>
    </row>
    <row r="165" spans="1:2" ht="15">
      <c r="A165" s="77" t="s">
        <v>3985</v>
      </c>
      <c r="B165" s="76" t="s">
        <v>10943</v>
      </c>
    </row>
    <row r="166" spans="1:2" ht="15">
      <c r="A166" s="77" t="s">
        <v>3986</v>
      </c>
      <c r="B166" s="76" t="s">
        <v>10943</v>
      </c>
    </row>
    <row r="167" spans="1:2" ht="15">
      <c r="A167" s="77" t="s">
        <v>3987</v>
      </c>
      <c r="B167" s="76" t="s">
        <v>10943</v>
      </c>
    </row>
    <row r="168" spans="1:2" ht="15">
      <c r="A168" s="77" t="s">
        <v>3988</v>
      </c>
      <c r="B168" s="76" t="s">
        <v>10943</v>
      </c>
    </row>
    <row r="169" spans="1:2" ht="15">
      <c r="A169" s="77" t="s">
        <v>3989</v>
      </c>
      <c r="B169" s="76" t="s">
        <v>10943</v>
      </c>
    </row>
    <row r="170" spans="1:2" ht="15">
      <c r="A170" s="77" t="s">
        <v>3990</v>
      </c>
      <c r="B170" s="76" t="s">
        <v>10943</v>
      </c>
    </row>
    <row r="171" spans="1:2" ht="15">
      <c r="A171" s="77" t="s">
        <v>3991</v>
      </c>
      <c r="B171" s="76" t="s">
        <v>10943</v>
      </c>
    </row>
    <row r="172" spans="1:2" ht="15">
      <c r="A172" s="77" t="s">
        <v>3992</v>
      </c>
      <c r="B172" s="76" t="s">
        <v>10943</v>
      </c>
    </row>
    <row r="173" spans="1:2" ht="15">
      <c r="A173" s="77" t="s">
        <v>3993</v>
      </c>
      <c r="B173" s="76" t="s">
        <v>10943</v>
      </c>
    </row>
    <row r="174" spans="1:2" ht="15">
      <c r="A174" s="77" t="s">
        <v>3994</v>
      </c>
      <c r="B174" s="76" t="s">
        <v>10943</v>
      </c>
    </row>
    <row r="175" spans="1:2" ht="15">
      <c r="A175" s="77" t="s">
        <v>3995</v>
      </c>
      <c r="B175" s="76" t="s">
        <v>10943</v>
      </c>
    </row>
    <row r="176" spans="1:2" ht="15">
      <c r="A176" s="77" t="s">
        <v>3996</v>
      </c>
      <c r="B176" s="76" t="s">
        <v>10943</v>
      </c>
    </row>
    <row r="177" spans="1:2" ht="15">
      <c r="A177" s="77" t="s">
        <v>3997</v>
      </c>
      <c r="B177" s="76" t="s">
        <v>10943</v>
      </c>
    </row>
    <row r="178" spans="1:2" ht="15">
      <c r="A178" s="77" t="s">
        <v>3998</v>
      </c>
      <c r="B178" s="76" t="s">
        <v>10943</v>
      </c>
    </row>
    <row r="179" spans="1:2" ht="15">
      <c r="A179" s="77" t="s">
        <v>3999</v>
      </c>
      <c r="B179" s="76" t="s">
        <v>10943</v>
      </c>
    </row>
    <row r="180" spans="1:2" ht="15">
      <c r="A180" s="77" t="s">
        <v>4000</v>
      </c>
      <c r="B180" s="76" t="s">
        <v>10943</v>
      </c>
    </row>
    <row r="181" spans="1:2" ht="15">
      <c r="A181" s="77" t="s">
        <v>4001</v>
      </c>
      <c r="B181" s="76" t="s">
        <v>10943</v>
      </c>
    </row>
    <row r="182" spans="1:2" ht="15">
      <c r="A182" s="77" t="s">
        <v>4002</v>
      </c>
      <c r="B182" s="76" t="s">
        <v>10943</v>
      </c>
    </row>
    <row r="183" spans="1:2" ht="15">
      <c r="A183" s="77" t="s">
        <v>4003</v>
      </c>
      <c r="B183" s="76" t="s">
        <v>10943</v>
      </c>
    </row>
    <row r="184" spans="1:2" ht="15">
      <c r="A184" s="77" t="s">
        <v>4004</v>
      </c>
      <c r="B184" s="76" t="s">
        <v>10943</v>
      </c>
    </row>
    <row r="185" spans="1:2" ht="15">
      <c r="A185" s="77" t="s">
        <v>4005</v>
      </c>
      <c r="B185" s="76" t="s">
        <v>10943</v>
      </c>
    </row>
    <row r="186" spans="1:2" ht="15">
      <c r="A186" s="77" t="s">
        <v>4006</v>
      </c>
      <c r="B186" s="76" t="s">
        <v>10943</v>
      </c>
    </row>
    <row r="187" spans="1:2" ht="15">
      <c r="A187" s="77" t="s">
        <v>4007</v>
      </c>
      <c r="B187" s="76" t="s">
        <v>10943</v>
      </c>
    </row>
    <row r="188" spans="1:2" ht="15">
      <c r="A188" s="77" t="s">
        <v>4008</v>
      </c>
      <c r="B188" s="76" t="s">
        <v>10943</v>
      </c>
    </row>
    <row r="189" spans="1:2" ht="15">
      <c r="A189" s="77" t="s">
        <v>4009</v>
      </c>
      <c r="B189" s="76" t="s">
        <v>10943</v>
      </c>
    </row>
    <row r="190" spans="1:2" ht="15">
      <c r="A190" s="77" t="s">
        <v>4010</v>
      </c>
      <c r="B190" s="76" t="s">
        <v>10943</v>
      </c>
    </row>
    <row r="191" spans="1:2" ht="15">
      <c r="A191" s="77" t="s">
        <v>4011</v>
      </c>
      <c r="B191" s="76" t="s">
        <v>10943</v>
      </c>
    </row>
    <row r="192" spans="1:2" ht="15">
      <c r="A192" s="77" t="s">
        <v>4012</v>
      </c>
      <c r="B192" s="76" t="s">
        <v>10943</v>
      </c>
    </row>
    <row r="193" spans="1:2" ht="15">
      <c r="A193" s="77" t="s">
        <v>4013</v>
      </c>
      <c r="B193" s="76" t="s">
        <v>10943</v>
      </c>
    </row>
    <row r="194" spans="1:2" ht="15">
      <c r="A194" s="77" t="s">
        <v>4014</v>
      </c>
      <c r="B194" s="76" t="s">
        <v>10943</v>
      </c>
    </row>
    <row r="195" spans="1:2" ht="15">
      <c r="A195" s="77" t="s">
        <v>4015</v>
      </c>
      <c r="B195" s="76" t="s">
        <v>10943</v>
      </c>
    </row>
    <row r="196" spans="1:2" ht="15">
      <c r="A196" s="77" t="s">
        <v>4016</v>
      </c>
      <c r="B196" s="76" t="s">
        <v>10943</v>
      </c>
    </row>
    <row r="197" spans="1:2" ht="15">
      <c r="A197" s="77" t="s">
        <v>4017</v>
      </c>
      <c r="B197" s="76" t="s">
        <v>10943</v>
      </c>
    </row>
    <row r="198" spans="1:2" ht="15">
      <c r="A198" s="77" t="s">
        <v>4018</v>
      </c>
      <c r="B198" s="76" t="s">
        <v>10943</v>
      </c>
    </row>
    <row r="199" spans="1:2" ht="15">
      <c r="A199" s="77" t="s">
        <v>4019</v>
      </c>
      <c r="B199" s="76" t="s">
        <v>10943</v>
      </c>
    </row>
    <row r="200" spans="1:2" ht="15">
      <c r="A200" s="77" t="s">
        <v>4020</v>
      </c>
      <c r="B200" s="76" t="s">
        <v>10943</v>
      </c>
    </row>
    <row r="201" spans="1:2" ht="15">
      <c r="A201" s="77" t="s">
        <v>4021</v>
      </c>
      <c r="B201" s="76" t="s">
        <v>10943</v>
      </c>
    </row>
    <row r="202" spans="1:2" ht="15">
      <c r="A202" s="77" t="s">
        <v>4022</v>
      </c>
      <c r="B202" s="76" t="s">
        <v>10943</v>
      </c>
    </row>
    <row r="203" spans="1:2" ht="15">
      <c r="A203" s="77" t="s">
        <v>4023</v>
      </c>
      <c r="B203" s="76" t="s">
        <v>10943</v>
      </c>
    </row>
    <row r="204" spans="1:2" ht="15">
      <c r="A204" s="77" t="s">
        <v>4024</v>
      </c>
      <c r="B204" s="76" t="s">
        <v>10943</v>
      </c>
    </row>
    <row r="205" spans="1:2" ht="15">
      <c r="A205" s="77" t="s">
        <v>4025</v>
      </c>
      <c r="B205" s="76" t="s">
        <v>10943</v>
      </c>
    </row>
    <row r="206" spans="1:2" ht="15">
      <c r="A206" s="77" t="s">
        <v>4026</v>
      </c>
      <c r="B206" s="76" t="s">
        <v>10943</v>
      </c>
    </row>
    <row r="207" spans="1:2" ht="15">
      <c r="A207" s="77" t="s">
        <v>4027</v>
      </c>
      <c r="B207" s="76" t="s">
        <v>10943</v>
      </c>
    </row>
    <row r="208" spans="1:2" ht="15">
      <c r="A208" s="77" t="s">
        <v>4028</v>
      </c>
      <c r="B208" s="76" t="s">
        <v>10943</v>
      </c>
    </row>
    <row r="209" spans="1:2" ht="15">
      <c r="A209" s="77" t="s">
        <v>4029</v>
      </c>
      <c r="B209" s="76" t="s">
        <v>10943</v>
      </c>
    </row>
    <row r="210" spans="1:2" ht="15">
      <c r="A210" s="77" t="s">
        <v>4030</v>
      </c>
      <c r="B210" s="76" t="s">
        <v>10943</v>
      </c>
    </row>
    <row r="211" spans="1:2" ht="15">
      <c r="A211" s="77" t="s">
        <v>4031</v>
      </c>
      <c r="B211" s="76" t="s">
        <v>10943</v>
      </c>
    </row>
    <row r="212" spans="1:2" ht="15">
      <c r="A212" s="77" t="s">
        <v>4032</v>
      </c>
      <c r="B212" s="76" t="s">
        <v>10943</v>
      </c>
    </row>
    <row r="213" spans="1:2" ht="15">
      <c r="A213" s="77" t="s">
        <v>4033</v>
      </c>
      <c r="B213" s="76" t="s">
        <v>10943</v>
      </c>
    </row>
    <row r="214" spans="1:2" ht="15">
      <c r="A214" s="77" t="s">
        <v>4034</v>
      </c>
      <c r="B214" s="76" t="s">
        <v>10943</v>
      </c>
    </row>
    <row r="215" spans="1:2" ht="15">
      <c r="A215" s="77" t="s">
        <v>4035</v>
      </c>
      <c r="B215" s="76" t="s">
        <v>10943</v>
      </c>
    </row>
    <row r="216" spans="1:2" ht="15">
      <c r="A216" s="77" t="s">
        <v>4036</v>
      </c>
      <c r="B216" s="76" t="s">
        <v>10943</v>
      </c>
    </row>
    <row r="217" spans="1:2" ht="15">
      <c r="A217" s="77" t="s">
        <v>4037</v>
      </c>
      <c r="B217" s="76" t="s">
        <v>10943</v>
      </c>
    </row>
    <row r="218" spans="1:2" ht="15">
      <c r="A218" s="77" t="s">
        <v>4038</v>
      </c>
      <c r="B218" s="76" t="s">
        <v>10943</v>
      </c>
    </row>
    <row r="219" spans="1:2" ht="15">
      <c r="A219" s="77" t="s">
        <v>4039</v>
      </c>
      <c r="B219" s="76" t="s">
        <v>10943</v>
      </c>
    </row>
    <row r="220" spans="1:2" ht="15">
      <c r="A220" s="77" t="s">
        <v>4040</v>
      </c>
      <c r="B220" s="76" t="s">
        <v>10943</v>
      </c>
    </row>
    <row r="221" spans="1:2" ht="15">
      <c r="A221" s="77" t="s">
        <v>4041</v>
      </c>
      <c r="B221" s="76" t="s">
        <v>10943</v>
      </c>
    </row>
    <row r="222" spans="1:2" ht="15">
      <c r="A222" s="77" t="s">
        <v>4042</v>
      </c>
      <c r="B222" s="76" t="s">
        <v>10943</v>
      </c>
    </row>
    <row r="223" spans="1:2" ht="15">
      <c r="A223" s="77" t="s">
        <v>4043</v>
      </c>
      <c r="B223" s="76" t="s">
        <v>10943</v>
      </c>
    </row>
    <row r="224" spans="1:2" ht="15">
      <c r="A224" s="77" t="s">
        <v>4044</v>
      </c>
      <c r="B224" s="76" t="s">
        <v>10943</v>
      </c>
    </row>
    <row r="225" spans="1:2" ht="15">
      <c r="A225" s="77" t="s">
        <v>4045</v>
      </c>
      <c r="B225" s="76" t="s">
        <v>10943</v>
      </c>
    </row>
    <row r="226" spans="1:2" ht="15">
      <c r="A226" s="77" t="s">
        <v>4046</v>
      </c>
      <c r="B226" s="76" t="s">
        <v>10943</v>
      </c>
    </row>
    <row r="227" spans="1:2" ht="15">
      <c r="A227" s="77" t="s">
        <v>4047</v>
      </c>
      <c r="B227" s="76" t="s">
        <v>10943</v>
      </c>
    </row>
    <row r="228" spans="1:2" ht="15">
      <c r="A228" s="77" t="s">
        <v>4048</v>
      </c>
      <c r="B228" s="76" t="s">
        <v>10943</v>
      </c>
    </row>
    <row r="229" spans="1:2" ht="15">
      <c r="A229" s="77" t="s">
        <v>4049</v>
      </c>
      <c r="B229" s="76" t="s">
        <v>10943</v>
      </c>
    </row>
    <row r="230" spans="1:2" ht="15">
      <c r="A230" s="77" t="s">
        <v>4050</v>
      </c>
      <c r="B230" s="76" t="s">
        <v>10943</v>
      </c>
    </row>
    <row r="231" spans="1:2" ht="15">
      <c r="A231" s="77" t="s">
        <v>4051</v>
      </c>
      <c r="B231" s="76" t="s">
        <v>10943</v>
      </c>
    </row>
    <row r="232" spans="1:2" ht="15">
      <c r="A232" s="77" t="s">
        <v>4052</v>
      </c>
      <c r="B232" s="76" t="s">
        <v>10943</v>
      </c>
    </row>
    <row r="233" spans="1:2" ht="15">
      <c r="A233" s="77" t="s">
        <v>4053</v>
      </c>
      <c r="B233" s="76" t="s">
        <v>10943</v>
      </c>
    </row>
    <row r="234" spans="1:2" ht="15">
      <c r="A234" s="77" t="s">
        <v>4054</v>
      </c>
      <c r="B234" s="76" t="s">
        <v>10943</v>
      </c>
    </row>
    <row r="235" spans="1:2" ht="15">
      <c r="A235" s="77" t="s">
        <v>4055</v>
      </c>
      <c r="B235" s="76" t="s">
        <v>10943</v>
      </c>
    </row>
    <row r="236" spans="1:2" ht="15">
      <c r="A236" s="77" t="s">
        <v>4056</v>
      </c>
      <c r="B236" s="76" t="s">
        <v>10943</v>
      </c>
    </row>
    <row r="237" spans="1:2" ht="15">
      <c r="A237" s="77" t="s">
        <v>4057</v>
      </c>
      <c r="B237" s="76" t="s">
        <v>10943</v>
      </c>
    </row>
    <row r="238" spans="1:2" ht="15">
      <c r="A238" s="77" t="s">
        <v>4058</v>
      </c>
      <c r="B238" s="76" t="s">
        <v>10943</v>
      </c>
    </row>
    <row r="239" spans="1:2" ht="15">
      <c r="A239" s="77" t="s">
        <v>4059</v>
      </c>
      <c r="B239" s="76" t="s">
        <v>10943</v>
      </c>
    </row>
    <row r="240" spans="1:2" ht="15">
      <c r="A240" s="77" t="s">
        <v>4060</v>
      </c>
      <c r="B240" s="76" t="s">
        <v>10943</v>
      </c>
    </row>
    <row r="241" spans="1:2" ht="15">
      <c r="A241" s="77" t="s">
        <v>4061</v>
      </c>
      <c r="B241" s="76" t="s">
        <v>10943</v>
      </c>
    </row>
    <row r="242" spans="1:2" ht="15">
      <c r="A242" s="77" t="s">
        <v>4062</v>
      </c>
      <c r="B242" s="76" t="s">
        <v>10943</v>
      </c>
    </row>
    <row r="243" spans="1:2" ht="15">
      <c r="A243" s="77" t="s">
        <v>4063</v>
      </c>
      <c r="B243" s="76" t="s">
        <v>10943</v>
      </c>
    </row>
    <row r="244" spans="1:2" ht="15">
      <c r="A244" s="77" t="s">
        <v>4064</v>
      </c>
      <c r="B244" s="76" t="s">
        <v>10943</v>
      </c>
    </row>
    <row r="245" spans="1:2" ht="15">
      <c r="A245" s="77" t="s">
        <v>4065</v>
      </c>
      <c r="B245" s="76" t="s">
        <v>10943</v>
      </c>
    </row>
    <row r="246" spans="1:2" ht="15">
      <c r="A246" s="77" t="s">
        <v>4066</v>
      </c>
      <c r="B246" s="76" t="s">
        <v>10943</v>
      </c>
    </row>
    <row r="247" spans="1:2" ht="15">
      <c r="A247" s="77" t="s">
        <v>4067</v>
      </c>
      <c r="B247" s="76" t="s">
        <v>10943</v>
      </c>
    </row>
    <row r="248" spans="1:2" ht="15">
      <c r="A248" s="77" t="s">
        <v>4068</v>
      </c>
      <c r="B248" s="76" t="s">
        <v>10943</v>
      </c>
    </row>
    <row r="249" spans="1:2" ht="15">
      <c r="A249" s="77" t="s">
        <v>4069</v>
      </c>
      <c r="B249" s="76" t="s">
        <v>10943</v>
      </c>
    </row>
    <row r="250" spans="1:2" ht="15">
      <c r="A250" s="77" t="s">
        <v>4070</v>
      </c>
      <c r="B250" s="76" t="s">
        <v>10943</v>
      </c>
    </row>
    <row r="251" spans="1:2" ht="15">
      <c r="A251" s="77" t="s">
        <v>4071</v>
      </c>
      <c r="B251" s="76" t="s">
        <v>10943</v>
      </c>
    </row>
    <row r="252" spans="1:2" ht="15">
      <c r="A252" s="77" t="s">
        <v>4072</v>
      </c>
      <c r="B252" s="76" t="s">
        <v>10943</v>
      </c>
    </row>
    <row r="253" spans="1:2" ht="15">
      <c r="A253" s="77" t="s">
        <v>4073</v>
      </c>
      <c r="B253" s="76" t="s">
        <v>10943</v>
      </c>
    </row>
    <row r="254" spans="1:2" ht="15">
      <c r="A254" s="77" t="s">
        <v>4074</v>
      </c>
      <c r="B254" s="76" t="s">
        <v>10943</v>
      </c>
    </row>
    <row r="255" spans="1:2" ht="15">
      <c r="A255" s="77" t="s">
        <v>4075</v>
      </c>
      <c r="B255" s="76" t="s">
        <v>10943</v>
      </c>
    </row>
    <row r="256" spans="1:2" ht="15">
      <c r="A256" s="77" t="s">
        <v>4076</v>
      </c>
      <c r="B256" s="76" t="s">
        <v>10943</v>
      </c>
    </row>
    <row r="257" spans="1:2" ht="15">
      <c r="A257" s="77" t="s">
        <v>4077</v>
      </c>
      <c r="B257" s="76" t="s">
        <v>10943</v>
      </c>
    </row>
    <row r="258" spans="1:2" ht="15">
      <c r="A258" s="77" t="s">
        <v>4078</v>
      </c>
      <c r="B258" s="76" t="s">
        <v>10943</v>
      </c>
    </row>
    <row r="259" spans="1:2" ht="15">
      <c r="A259" s="77" t="s">
        <v>4079</v>
      </c>
      <c r="B259" s="76" t="s">
        <v>10943</v>
      </c>
    </row>
    <row r="260" spans="1:2" ht="15">
      <c r="A260" s="77" t="s">
        <v>4080</v>
      </c>
      <c r="B260" s="76" t="s">
        <v>10943</v>
      </c>
    </row>
    <row r="261" spans="1:2" ht="15">
      <c r="A261" s="77" t="s">
        <v>4081</v>
      </c>
      <c r="B261" s="76" t="s">
        <v>10943</v>
      </c>
    </row>
    <row r="262" spans="1:2" ht="15">
      <c r="A262" s="77" t="s">
        <v>4082</v>
      </c>
      <c r="B262" s="76" t="s">
        <v>10943</v>
      </c>
    </row>
    <row r="263" spans="1:2" ht="15">
      <c r="A263" s="77" t="s">
        <v>4083</v>
      </c>
      <c r="B263" s="76" t="s">
        <v>10943</v>
      </c>
    </row>
    <row r="264" spans="1:2" ht="15">
      <c r="A264" s="77" t="s">
        <v>4084</v>
      </c>
      <c r="B264" s="76" t="s">
        <v>10943</v>
      </c>
    </row>
    <row r="265" spans="1:2" ht="15">
      <c r="A265" s="77" t="s">
        <v>4085</v>
      </c>
      <c r="B265" s="76" t="s">
        <v>10943</v>
      </c>
    </row>
    <row r="266" spans="1:2" ht="15">
      <c r="A266" s="77" t="s">
        <v>4086</v>
      </c>
      <c r="B266" s="76" t="s">
        <v>10943</v>
      </c>
    </row>
    <row r="267" spans="1:2" ht="15">
      <c r="A267" s="77" t="s">
        <v>4087</v>
      </c>
      <c r="B267" s="76" t="s">
        <v>10943</v>
      </c>
    </row>
    <row r="268" spans="1:2" ht="15">
      <c r="A268" s="77" t="s">
        <v>4088</v>
      </c>
      <c r="B268" s="76" t="s">
        <v>10943</v>
      </c>
    </row>
    <row r="269" spans="1:2" ht="15">
      <c r="A269" s="77" t="s">
        <v>4089</v>
      </c>
      <c r="B269" s="76" t="s">
        <v>10943</v>
      </c>
    </row>
    <row r="270" spans="1:2" ht="15">
      <c r="A270" s="77" t="s">
        <v>4090</v>
      </c>
      <c r="B270" s="76" t="s">
        <v>10943</v>
      </c>
    </row>
    <row r="271" spans="1:2" ht="15">
      <c r="A271" s="77" t="s">
        <v>4091</v>
      </c>
      <c r="B271" s="76" t="s">
        <v>10943</v>
      </c>
    </row>
    <row r="272" spans="1:2" ht="15">
      <c r="A272" s="77" t="s">
        <v>4092</v>
      </c>
      <c r="B272" s="76" t="s">
        <v>10943</v>
      </c>
    </row>
    <row r="273" spans="1:2" ht="15">
      <c r="A273" s="77" t="s">
        <v>4093</v>
      </c>
      <c r="B273" s="76" t="s">
        <v>10943</v>
      </c>
    </row>
    <row r="274" spans="1:2" ht="15">
      <c r="A274" s="77" t="s">
        <v>4094</v>
      </c>
      <c r="B274" s="76" t="s">
        <v>10943</v>
      </c>
    </row>
    <row r="275" spans="1:2" ht="15">
      <c r="A275" s="77" t="s">
        <v>4095</v>
      </c>
      <c r="B275" s="76" t="s">
        <v>10943</v>
      </c>
    </row>
    <row r="276" spans="1:2" ht="15">
      <c r="A276" s="77" t="s">
        <v>4096</v>
      </c>
      <c r="B276" s="76" t="s">
        <v>10943</v>
      </c>
    </row>
    <row r="277" spans="1:2" ht="15">
      <c r="A277" s="77" t="s">
        <v>4097</v>
      </c>
      <c r="B277" s="76" t="s">
        <v>10943</v>
      </c>
    </row>
    <row r="278" spans="1:2" ht="15">
      <c r="A278" s="77" t="s">
        <v>4098</v>
      </c>
      <c r="B278" s="76" t="s">
        <v>10943</v>
      </c>
    </row>
    <row r="279" spans="1:2" ht="15">
      <c r="A279" s="77" t="s">
        <v>4099</v>
      </c>
      <c r="B279" s="76" t="s">
        <v>10943</v>
      </c>
    </row>
    <row r="280" spans="1:2" ht="15">
      <c r="A280" s="77" t="s">
        <v>4100</v>
      </c>
      <c r="B280" s="76" t="s">
        <v>10943</v>
      </c>
    </row>
    <row r="281" spans="1:2" ht="15">
      <c r="A281" s="77" t="s">
        <v>4101</v>
      </c>
      <c r="B281" s="76" t="s">
        <v>10943</v>
      </c>
    </row>
    <row r="282" spans="1:2" ht="15">
      <c r="A282" s="77" t="s">
        <v>4102</v>
      </c>
      <c r="B282" s="76" t="s">
        <v>10943</v>
      </c>
    </row>
    <row r="283" spans="1:2" ht="15">
      <c r="A283" s="77" t="s">
        <v>4103</v>
      </c>
      <c r="B283" s="76" t="s">
        <v>10943</v>
      </c>
    </row>
    <row r="284" spans="1:2" ht="15">
      <c r="A284" s="77" t="s">
        <v>4104</v>
      </c>
      <c r="B284" s="76" t="s">
        <v>10943</v>
      </c>
    </row>
    <row r="285" spans="1:2" ht="15">
      <c r="A285" s="77" t="s">
        <v>4105</v>
      </c>
      <c r="B285" s="76" t="s">
        <v>10943</v>
      </c>
    </row>
    <row r="286" spans="1:2" ht="15">
      <c r="A286" s="77" t="s">
        <v>4106</v>
      </c>
      <c r="B286" s="76" t="s">
        <v>10943</v>
      </c>
    </row>
    <row r="287" spans="1:2" ht="15">
      <c r="A287" s="77" t="s">
        <v>4107</v>
      </c>
      <c r="B287" s="76" t="s">
        <v>10943</v>
      </c>
    </row>
    <row r="288" spans="1:2" ht="15">
      <c r="A288" s="77" t="s">
        <v>4108</v>
      </c>
      <c r="B288" s="76" t="s">
        <v>10943</v>
      </c>
    </row>
    <row r="289" spans="1:2" ht="15">
      <c r="A289" s="77" t="s">
        <v>4109</v>
      </c>
      <c r="B289" s="76" t="s">
        <v>10943</v>
      </c>
    </row>
    <row r="290" spans="1:2" ht="15">
      <c r="A290" s="77" t="s">
        <v>4110</v>
      </c>
      <c r="B290" s="76" t="s">
        <v>10943</v>
      </c>
    </row>
    <row r="291" spans="1:2" ht="15">
      <c r="A291" s="77" t="s">
        <v>4111</v>
      </c>
      <c r="B291" s="76" t="s">
        <v>10943</v>
      </c>
    </row>
    <row r="292" spans="1:2" ht="15">
      <c r="A292" s="77" t="s">
        <v>4112</v>
      </c>
      <c r="B292" s="76" t="s">
        <v>10943</v>
      </c>
    </row>
    <row r="293" spans="1:2" ht="15">
      <c r="A293" s="77" t="s">
        <v>4113</v>
      </c>
      <c r="B293" s="76" t="s">
        <v>10943</v>
      </c>
    </row>
    <row r="294" spans="1:2" ht="15">
      <c r="A294" s="77" t="s">
        <v>4114</v>
      </c>
      <c r="B294" s="76" t="s">
        <v>10943</v>
      </c>
    </row>
    <row r="295" spans="1:2" ht="15">
      <c r="A295" s="77" t="s">
        <v>4115</v>
      </c>
      <c r="B295" s="76" t="s">
        <v>10943</v>
      </c>
    </row>
    <row r="296" spans="1:2" ht="15">
      <c r="A296" s="77" t="s">
        <v>4116</v>
      </c>
      <c r="B296" s="76" t="s">
        <v>10943</v>
      </c>
    </row>
    <row r="297" spans="1:2" ht="15">
      <c r="A297" s="77" t="s">
        <v>4117</v>
      </c>
      <c r="B297" s="76" t="s">
        <v>10943</v>
      </c>
    </row>
    <row r="298" spans="1:2" ht="15">
      <c r="A298" s="77" t="s">
        <v>4118</v>
      </c>
      <c r="B298" s="76" t="s">
        <v>10943</v>
      </c>
    </row>
    <row r="299" spans="1:2" ht="15">
      <c r="A299" s="77" t="s">
        <v>4119</v>
      </c>
      <c r="B299" s="76" t="s">
        <v>10943</v>
      </c>
    </row>
    <row r="300" spans="1:2" ht="15">
      <c r="A300" s="77" t="s">
        <v>4120</v>
      </c>
      <c r="B300" s="76" t="s">
        <v>10943</v>
      </c>
    </row>
    <row r="301" spans="1:2" ht="15">
      <c r="A301" s="77" t="s">
        <v>4121</v>
      </c>
      <c r="B301" s="76" t="s">
        <v>10943</v>
      </c>
    </row>
    <row r="302" spans="1:2" ht="15">
      <c r="A302" s="77" t="s">
        <v>4122</v>
      </c>
      <c r="B302" s="76" t="s">
        <v>10943</v>
      </c>
    </row>
    <row r="303" spans="1:2" ht="15">
      <c r="A303" s="77" t="s">
        <v>4123</v>
      </c>
      <c r="B303" s="76" t="s">
        <v>10943</v>
      </c>
    </row>
    <row r="304" spans="1:2" ht="15">
      <c r="A304" s="77" t="s">
        <v>4124</v>
      </c>
      <c r="B304" s="76" t="s">
        <v>10943</v>
      </c>
    </row>
    <row r="305" spans="1:2" ht="15">
      <c r="A305" s="77" t="s">
        <v>4125</v>
      </c>
      <c r="B305" s="76" t="s">
        <v>10943</v>
      </c>
    </row>
    <row r="306" spans="1:2" ht="15">
      <c r="A306" s="77" t="s">
        <v>4126</v>
      </c>
      <c r="B306" s="76" t="s">
        <v>10943</v>
      </c>
    </row>
    <row r="307" spans="1:2" ht="15">
      <c r="A307" s="77" t="s">
        <v>4127</v>
      </c>
      <c r="B307" s="76" t="s">
        <v>10943</v>
      </c>
    </row>
    <row r="308" spans="1:2" ht="15">
      <c r="A308" s="77" t="s">
        <v>4128</v>
      </c>
      <c r="B308" s="76" t="s">
        <v>10943</v>
      </c>
    </row>
    <row r="309" spans="1:2" ht="15">
      <c r="A309" s="77" t="s">
        <v>4129</v>
      </c>
      <c r="B309" s="76" t="s">
        <v>10943</v>
      </c>
    </row>
    <row r="310" spans="1:2" ht="15">
      <c r="A310" s="77" t="s">
        <v>4130</v>
      </c>
      <c r="B310" s="76" t="s">
        <v>10943</v>
      </c>
    </row>
    <row r="311" spans="1:2" ht="15">
      <c r="A311" s="77" t="s">
        <v>4131</v>
      </c>
      <c r="B311" s="76" t="s">
        <v>10943</v>
      </c>
    </row>
    <row r="312" spans="1:2" ht="15">
      <c r="A312" s="77" t="s">
        <v>4132</v>
      </c>
      <c r="B312" s="76" t="s">
        <v>10943</v>
      </c>
    </row>
    <row r="313" spans="1:2" ht="15">
      <c r="A313" s="77" t="s">
        <v>4133</v>
      </c>
      <c r="B313" s="76" t="s">
        <v>10943</v>
      </c>
    </row>
    <row r="314" spans="1:2" ht="15">
      <c r="A314" s="77" t="s">
        <v>4134</v>
      </c>
      <c r="B314" s="76" t="s">
        <v>10943</v>
      </c>
    </row>
    <row r="315" spans="1:2" ht="15">
      <c r="A315" s="77" t="s">
        <v>4135</v>
      </c>
      <c r="B315" s="76" t="s">
        <v>10943</v>
      </c>
    </row>
    <row r="316" spans="1:2" ht="15">
      <c r="A316" s="77" t="s">
        <v>4136</v>
      </c>
      <c r="B316" s="76" t="s">
        <v>10943</v>
      </c>
    </row>
    <row r="317" spans="1:2" ht="15">
      <c r="A317" s="77" t="s">
        <v>4137</v>
      </c>
      <c r="B317" s="76" t="s">
        <v>10943</v>
      </c>
    </row>
    <row r="318" spans="1:2" ht="15">
      <c r="A318" s="77" t="s">
        <v>4138</v>
      </c>
      <c r="B318" s="76" t="s">
        <v>10943</v>
      </c>
    </row>
    <row r="319" spans="1:2" ht="15">
      <c r="A319" s="77" t="s">
        <v>4139</v>
      </c>
      <c r="B319" s="76" t="s">
        <v>10943</v>
      </c>
    </row>
    <row r="320" spans="1:2" ht="15">
      <c r="A320" s="77" t="s">
        <v>4140</v>
      </c>
      <c r="B320" s="76" t="s">
        <v>10943</v>
      </c>
    </row>
    <row r="321" spans="1:2" ht="15">
      <c r="A321" s="77" t="s">
        <v>4141</v>
      </c>
      <c r="B321" s="76" t="s">
        <v>10943</v>
      </c>
    </row>
    <row r="322" spans="1:2" ht="15">
      <c r="A322" s="77" t="s">
        <v>4142</v>
      </c>
      <c r="B322" s="76" t="s">
        <v>10943</v>
      </c>
    </row>
    <row r="323" spans="1:2" ht="15">
      <c r="A323" s="77" t="s">
        <v>4143</v>
      </c>
      <c r="B323" s="76" t="s">
        <v>10943</v>
      </c>
    </row>
    <row r="324" spans="1:2" ht="15">
      <c r="A324" s="77" t="s">
        <v>4144</v>
      </c>
      <c r="B324" s="76" t="s">
        <v>10943</v>
      </c>
    </row>
    <row r="325" spans="1:2" ht="15">
      <c r="A325" s="77" t="s">
        <v>4145</v>
      </c>
      <c r="B325" s="76" t="s">
        <v>10943</v>
      </c>
    </row>
    <row r="326" spans="1:2" ht="15">
      <c r="A326" s="77" t="s">
        <v>4146</v>
      </c>
      <c r="B326" s="76" t="s">
        <v>10943</v>
      </c>
    </row>
    <row r="327" spans="1:2" ht="15">
      <c r="A327" s="77" t="s">
        <v>4147</v>
      </c>
      <c r="B327" s="76" t="s">
        <v>10943</v>
      </c>
    </row>
    <row r="328" spans="1:2" ht="15">
      <c r="A328" s="77" t="s">
        <v>4148</v>
      </c>
      <c r="B328" s="76" t="s">
        <v>10943</v>
      </c>
    </row>
    <row r="329" spans="1:2" ht="15">
      <c r="A329" s="77" t="s">
        <v>4149</v>
      </c>
      <c r="B329" s="76" t="s">
        <v>10943</v>
      </c>
    </row>
    <row r="330" spans="1:2" ht="15">
      <c r="A330" s="77" t="s">
        <v>4150</v>
      </c>
      <c r="B330" s="76" t="s">
        <v>10943</v>
      </c>
    </row>
    <row r="331" spans="1:2" ht="15">
      <c r="A331" s="77" t="s">
        <v>4151</v>
      </c>
      <c r="B331" s="76" t="s">
        <v>10943</v>
      </c>
    </row>
    <row r="332" spans="1:2" ht="15">
      <c r="A332" s="77" t="s">
        <v>4152</v>
      </c>
      <c r="B332" s="76" t="s">
        <v>10943</v>
      </c>
    </row>
    <row r="333" spans="1:2" ht="15">
      <c r="A333" s="77" t="s">
        <v>4153</v>
      </c>
      <c r="B333" s="76" t="s">
        <v>10943</v>
      </c>
    </row>
    <row r="334" spans="1:2" ht="15">
      <c r="A334" s="77" t="s">
        <v>4154</v>
      </c>
      <c r="B334" s="76" t="s">
        <v>10943</v>
      </c>
    </row>
    <row r="335" spans="1:2" ht="15">
      <c r="A335" s="77" t="s">
        <v>4155</v>
      </c>
      <c r="B335" s="76" t="s">
        <v>10943</v>
      </c>
    </row>
    <row r="336" spans="1:2" ht="15">
      <c r="A336" s="77" t="s">
        <v>4156</v>
      </c>
      <c r="B336" s="76" t="s">
        <v>10943</v>
      </c>
    </row>
    <row r="337" spans="1:2" ht="15">
      <c r="A337" s="77" t="s">
        <v>4157</v>
      </c>
      <c r="B337" s="76" t="s">
        <v>10943</v>
      </c>
    </row>
    <row r="338" spans="1:2" ht="15">
      <c r="A338" s="77" t="s">
        <v>4158</v>
      </c>
      <c r="B338" s="76" t="s">
        <v>10943</v>
      </c>
    </row>
    <row r="339" spans="1:2" ht="15">
      <c r="A339" s="77" t="s">
        <v>4159</v>
      </c>
      <c r="B339" s="76" t="s">
        <v>10943</v>
      </c>
    </row>
    <row r="340" spans="1:2" ht="15">
      <c r="A340" s="77" t="s">
        <v>4160</v>
      </c>
      <c r="B340" s="76" t="s">
        <v>10943</v>
      </c>
    </row>
    <row r="341" spans="1:2" ht="15">
      <c r="A341" s="77" t="s">
        <v>4161</v>
      </c>
      <c r="B341" s="76" t="s">
        <v>10943</v>
      </c>
    </row>
    <row r="342" spans="1:2" ht="15">
      <c r="A342" s="77" t="s">
        <v>4162</v>
      </c>
      <c r="B342" s="76" t="s">
        <v>10943</v>
      </c>
    </row>
    <row r="343" spans="1:2" ht="15">
      <c r="A343" s="77" t="s">
        <v>4163</v>
      </c>
      <c r="B343" s="76" t="s">
        <v>10943</v>
      </c>
    </row>
    <row r="344" spans="1:2" ht="15">
      <c r="A344" s="77" t="s">
        <v>4164</v>
      </c>
      <c r="B344" s="76" t="s">
        <v>10943</v>
      </c>
    </row>
    <row r="345" spans="1:2" ht="15">
      <c r="A345" s="77" t="s">
        <v>4165</v>
      </c>
      <c r="B345" s="76" t="s">
        <v>10943</v>
      </c>
    </row>
    <row r="346" spans="1:2" ht="15">
      <c r="A346" s="77" t="s">
        <v>4166</v>
      </c>
      <c r="B346" s="76" t="s">
        <v>10943</v>
      </c>
    </row>
    <row r="347" spans="1:2" ht="15">
      <c r="A347" s="77" t="s">
        <v>4167</v>
      </c>
      <c r="B347" s="76" t="s">
        <v>10943</v>
      </c>
    </row>
    <row r="348" spans="1:2" ht="15">
      <c r="A348" s="77" t="s">
        <v>4168</v>
      </c>
      <c r="B348" s="76" t="s">
        <v>10943</v>
      </c>
    </row>
    <row r="349" spans="1:2" ht="15">
      <c r="A349" s="77" t="s">
        <v>4169</v>
      </c>
      <c r="B349" s="76" t="s">
        <v>10943</v>
      </c>
    </row>
    <row r="350" spans="1:2" ht="15">
      <c r="A350" s="77" t="s">
        <v>4170</v>
      </c>
      <c r="B350" s="76" t="s">
        <v>10943</v>
      </c>
    </row>
    <row r="351" spans="1:2" ht="15">
      <c r="A351" s="77" t="s">
        <v>4171</v>
      </c>
      <c r="B351" s="76" t="s">
        <v>10943</v>
      </c>
    </row>
    <row r="352" spans="1:2" ht="15">
      <c r="A352" s="77" t="s">
        <v>4172</v>
      </c>
      <c r="B352" s="76" t="s">
        <v>10943</v>
      </c>
    </row>
    <row r="353" spans="1:2" ht="15">
      <c r="A353" s="77" t="s">
        <v>4173</v>
      </c>
      <c r="B353" s="76" t="s">
        <v>10943</v>
      </c>
    </row>
    <row r="354" spans="1:2" ht="15">
      <c r="A354" s="77" t="s">
        <v>4174</v>
      </c>
      <c r="B354" s="76" t="s">
        <v>10943</v>
      </c>
    </row>
    <row r="355" spans="1:2" ht="15">
      <c r="A355" s="77" t="s">
        <v>4175</v>
      </c>
      <c r="B355" s="76" t="s">
        <v>10943</v>
      </c>
    </row>
    <row r="356" spans="1:2" ht="15">
      <c r="A356" s="77" t="s">
        <v>4176</v>
      </c>
      <c r="B356" s="76" t="s">
        <v>10943</v>
      </c>
    </row>
    <row r="357" spans="1:2" ht="15">
      <c r="A357" s="77" t="s">
        <v>4177</v>
      </c>
      <c r="B357" s="76" t="s">
        <v>10943</v>
      </c>
    </row>
    <row r="358" spans="1:2" ht="15">
      <c r="A358" s="77" t="s">
        <v>4178</v>
      </c>
      <c r="B358" s="76" t="s">
        <v>10943</v>
      </c>
    </row>
    <row r="359" spans="1:2" ht="15">
      <c r="A359" s="77" t="s">
        <v>4179</v>
      </c>
      <c r="B359" s="76" t="s">
        <v>10943</v>
      </c>
    </row>
    <row r="360" spans="1:2" ht="15">
      <c r="A360" s="77" t="s">
        <v>4180</v>
      </c>
      <c r="B360" s="76" t="s">
        <v>10943</v>
      </c>
    </row>
    <row r="361" spans="1:2" ht="15">
      <c r="A361" s="77" t="s">
        <v>4181</v>
      </c>
      <c r="B361" s="76" t="s">
        <v>10943</v>
      </c>
    </row>
    <row r="362" spans="1:2" ht="15">
      <c r="A362" s="77" t="s">
        <v>4182</v>
      </c>
      <c r="B362" s="76" t="s">
        <v>10943</v>
      </c>
    </row>
    <row r="363" spans="1:2" ht="15">
      <c r="A363" s="77" t="s">
        <v>4183</v>
      </c>
      <c r="B363" s="76" t="s">
        <v>10943</v>
      </c>
    </row>
    <row r="364" spans="1:2" ht="15">
      <c r="A364" s="77" t="s">
        <v>4184</v>
      </c>
      <c r="B364" s="76" t="s">
        <v>10943</v>
      </c>
    </row>
    <row r="365" spans="1:2" ht="15">
      <c r="A365" s="77" t="s">
        <v>4185</v>
      </c>
      <c r="B365" s="76" t="s">
        <v>10943</v>
      </c>
    </row>
    <row r="366" spans="1:2" ht="15">
      <c r="A366" s="77" t="s">
        <v>4186</v>
      </c>
      <c r="B366" s="76" t="s">
        <v>10943</v>
      </c>
    </row>
    <row r="367" spans="1:2" ht="15">
      <c r="A367" s="77" t="s">
        <v>4187</v>
      </c>
      <c r="B367" s="76" t="s">
        <v>10943</v>
      </c>
    </row>
    <row r="368" spans="1:2" ht="15">
      <c r="A368" s="77" t="s">
        <v>4188</v>
      </c>
      <c r="B368" s="76" t="s">
        <v>10943</v>
      </c>
    </row>
    <row r="369" spans="1:2" ht="15">
      <c r="A369" s="77" t="s">
        <v>4189</v>
      </c>
      <c r="B369" s="76" t="s">
        <v>10943</v>
      </c>
    </row>
    <row r="370" spans="1:2" ht="15">
      <c r="A370" s="77" t="s">
        <v>4190</v>
      </c>
      <c r="B370" s="76" t="s">
        <v>10943</v>
      </c>
    </row>
    <row r="371" spans="1:2" ht="15">
      <c r="A371" s="77" t="s">
        <v>4191</v>
      </c>
      <c r="B371" s="76" t="s">
        <v>10943</v>
      </c>
    </row>
    <row r="372" spans="1:2" ht="15">
      <c r="A372" s="77" t="s">
        <v>4192</v>
      </c>
      <c r="B372" s="76" t="s">
        <v>10943</v>
      </c>
    </row>
    <row r="373" spans="1:2" ht="15">
      <c r="A373" s="77" t="s">
        <v>4193</v>
      </c>
      <c r="B373" s="76" t="s">
        <v>10943</v>
      </c>
    </row>
    <row r="374" spans="1:2" ht="15">
      <c r="A374" s="77" t="s">
        <v>4194</v>
      </c>
      <c r="B374" s="76" t="s">
        <v>10943</v>
      </c>
    </row>
    <row r="375" spans="1:2" ht="15">
      <c r="A375" s="77" t="s">
        <v>4195</v>
      </c>
      <c r="B375" s="76" t="s">
        <v>10943</v>
      </c>
    </row>
    <row r="376" spans="1:2" ht="15">
      <c r="A376" s="77" t="s">
        <v>4196</v>
      </c>
      <c r="B376" s="76" t="s">
        <v>10943</v>
      </c>
    </row>
    <row r="377" spans="1:2" ht="15">
      <c r="A377" s="77" t="s">
        <v>4197</v>
      </c>
      <c r="B377" s="76" t="s">
        <v>10943</v>
      </c>
    </row>
    <row r="378" spans="1:2" ht="15">
      <c r="A378" s="77" t="s">
        <v>4198</v>
      </c>
      <c r="B378" s="76" t="s">
        <v>10943</v>
      </c>
    </row>
    <row r="379" spans="1:2" ht="15">
      <c r="A379" s="77" t="s">
        <v>4199</v>
      </c>
      <c r="B379" s="76" t="s">
        <v>10943</v>
      </c>
    </row>
    <row r="380" spans="1:2" ht="15">
      <c r="A380" s="77" t="s">
        <v>4200</v>
      </c>
      <c r="B380" s="76" t="s">
        <v>10943</v>
      </c>
    </row>
    <row r="381" spans="1:2" ht="15">
      <c r="A381" s="77" t="s">
        <v>4201</v>
      </c>
      <c r="B381" s="76" t="s">
        <v>10943</v>
      </c>
    </row>
    <row r="382" spans="1:2" ht="15">
      <c r="A382" s="77" t="s">
        <v>4202</v>
      </c>
      <c r="B382" s="76" t="s">
        <v>10943</v>
      </c>
    </row>
    <row r="383" spans="1:2" ht="15">
      <c r="A383" s="77" t="s">
        <v>4203</v>
      </c>
      <c r="B383" s="76" t="s">
        <v>10943</v>
      </c>
    </row>
    <row r="384" spans="1:2" ht="15">
      <c r="A384" s="77" t="s">
        <v>4204</v>
      </c>
      <c r="B384" s="76" t="s">
        <v>10943</v>
      </c>
    </row>
    <row r="385" spans="1:2" ht="15">
      <c r="A385" s="77" t="s">
        <v>4205</v>
      </c>
      <c r="B385" s="76" t="s">
        <v>10943</v>
      </c>
    </row>
    <row r="386" spans="1:2" ht="15">
      <c r="A386" s="77" t="s">
        <v>4206</v>
      </c>
      <c r="B386" s="76" t="s">
        <v>10943</v>
      </c>
    </row>
    <row r="387" spans="1:2" ht="15">
      <c r="A387" s="77" t="s">
        <v>4207</v>
      </c>
      <c r="B387" s="76" t="s">
        <v>10943</v>
      </c>
    </row>
    <row r="388" spans="1:2" ht="15">
      <c r="A388" s="77" t="s">
        <v>4208</v>
      </c>
      <c r="B388" s="76" t="s">
        <v>10943</v>
      </c>
    </row>
    <row r="389" spans="1:2" ht="15">
      <c r="A389" s="77" t="s">
        <v>4209</v>
      </c>
      <c r="B389" s="76" t="s">
        <v>10943</v>
      </c>
    </row>
    <row r="390" spans="1:2" ht="15">
      <c r="A390" s="77" t="s">
        <v>4210</v>
      </c>
      <c r="B390" s="76" t="s">
        <v>10943</v>
      </c>
    </row>
    <row r="391" spans="1:2" ht="15">
      <c r="A391" s="77" t="s">
        <v>4211</v>
      </c>
      <c r="B391" s="76" t="s">
        <v>10943</v>
      </c>
    </row>
    <row r="392" spans="1:2" ht="15">
      <c r="A392" s="77" t="s">
        <v>4212</v>
      </c>
      <c r="B392" s="76" t="s">
        <v>10943</v>
      </c>
    </row>
    <row r="393" spans="1:2" ht="15">
      <c r="A393" s="77" t="s">
        <v>4213</v>
      </c>
      <c r="B393" s="76" t="s">
        <v>10943</v>
      </c>
    </row>
    <row r="394" spans="1:2" ht="15">
      <c r="A394" s="77" t="s">
        <v>4214</v>
      </c>
      <c r="B394" s="76" t="s">
        <v>10943</v>
      </c>
    </row>
    <row r="395" spans="1:2" ht="15">
      <c r="A395" s="77" t="s">
        <v>4215</v>
      </c>
      <c r="B395" s="76" t="s">
        <v>10943</v>
      </c>
    </row>
    <row r="396" spans="1:2" ht="15">
      <c r="A396" s="77" t="s">
        <v>4216</v>
      </c>
      <c r="B396" s="76" t="s">
        <v>10943</v>
      </c>
    </row>
    <row r="397" spans="1:2" ht="15">
      <c r="A397" s="77" t="s">
        <v>4217</v>
      </c>
      <c r="B397" s="76" t="s">
        <v>10943</v>
      </c>
    </row>
    <row r="398" spans="1:2" ht="15">
      <c r="A398" s="77" t="s">
        <v>4218</v>
      </c>
      <c r="B398" s="76" t="s">
        <v>10943</v>
      </c>
    </row>
    <row r="399" spans="1:2" ht="15">
      <c r="A399" s="77" t="s">
        <v>4219</v>
      </c>
      <c r="B399" s="76" t="s">
        <v>10943</v>
      </c>
    </row>
    <row r="400" spans="1:2" ht="15">
      <c r="A400" s="77" t="s">
        <v>4220</v>
      </c>
      <c r="B400" s="76" t="s">
        <v>10943</v>
      </c>
    </row>
    <row r="401" spans="1:2" ht="15">
      <c r="A401" s="77" t="s">
        <v>4221</v>
      </c>
      <c r="B401" s="76" t="s">
        <v>10943</v>
      </c>
    </row>
    <row r="402" spans="1:2" ht="15">
      <c r="A402" s="77" t="s">
        <v>4222</v>
      </c>
      <c r="B402" s="76" t="s">
        <v>10943</v>
      </c>
    </row>
    <row r="403" spans="1:2" ht="15">
      <c r="A403" s="77" t="s">
        <v>4223</v>
      </c>
      <c r="B403" s="76" t="s">
        <v>10943</v>
      </c>
    </row>
    <row r="404" spans="1:2" ht="15">
      <c r="A404" s="77" t="s">
        <v>4224</v>
      </c>
      <c r="B404" s="76" t="s">
        <v>10943</v>
      </c>
    </row>
    <row r="405" spans="1:2" ht="15">
      <c r="A405" s="77" t="s">
        <v>4225</v>
      </c>
      <c r="B405" s="76" t="s">
        <v>10943</v>
      </c>
    </row>
    <row r="406" spans="1:2" ht="15">
      <c r="A406" s="77" t="s">
        <v>4226</v>
      </c>
      <c r="B406" s="76" t="s">
        <v>10943</v>
      </c>
    </row>
    <row r="407" spans="1:2" ht="15">
      <c r="A407" s="77" t="s">
        <v>4227</v>
      </c>
      <c r="B407" s="76" t="s">
        <v>10943</v>
      </c>
    </row>
    <row r="408" spans="1:2" ht="15">
      <c r="A408" s="77" t="s">
        <v>4228</v>
      </c>
      <c r="B408" s="76" t="s">
        <v>10943</v>
      </c>
    </row>
    <row r="409" spans="1:2" ht="15">
      <c r="A409" s="77" t="s">
        <v>4229</v>
      </c>
      <c r="B409" s="76" t="s">
        <v>10943</v>
      </c>
    </row>
    <row r="410" spans="1:2" ht="15">
      <c r="A410" s="77" t="s">
        <v>4230</v>
      </c>
      <c r="B410" s="76" t="s">
        <v>10943</v>
      </c>
    </row>
    <row r="411" spans="1:2" ht="15">
      <c r="A411" s="77" t="s">
        <v>4231</v>
      </c>
      <c r="B411" s="76" t="s">
        <v>10943</v>
      </c>
    </row>
    <row r="412" spans="1:2" ht="15">
      <c r="A412" s="77" t="s">
        <v>4232</v>
      </c>
      <c r="B412" s="76" t="s">
        <v>10943</v>
      </c>
    </row>
    <row r="413" spans="1:2" ht="15">
      <c r="A413" s="77" t="s">
        <v>4233</v>
      </c>
      <c r="B413" s="76" t="s">
        <v>10943</v>
      </c>
    </row>
    <row r="414" spans="1:2" ht="15">
      <c r="A414" s="77" t="s">
        <v>4234</v>
      </c>
      <c r="B414" s="76" t="s">
        <v>10943</v>
      </c>
    </row>
    <row r="415" spans="1:2" ht="15">
      <c r="A415" s="77" t="s">
        <v>4235</v>
      </c>
      <c r="B415" s="76" t="s">
        <v>10943</v>
      </c>
    </row>
    <row r="416" spans="1:2" ht="15">
      <c r="A416" s="77" t="s">
        <v>4236</v>
      </c>
      <c r="B416" s="76" t="s">
        <v>10943</v>
      </c>
    </row>
    <row r="417" spans="1:2" ht="15">
      <c r="A417" s="77" t="s">
        <v>4237</v>
      </c>
      <c r="B417" s="76" t="s">
        <v>10943</v>
      </c>
    </row>
    <row r="418" spans="1:2" ht="15">
      <c r="A418" s="77" t="s">
        <v>4238</v>
      </c>
      <c r="B418" s="76" t="s">
        <v>10943</v>
      </c>
    </row>
    <row r="419" spans="1:2" ht="15">
      <c r="A419" s="77" t="s">
        <v>4239</v>
      </c>
      <c r="B419" s="76" t="s">
        <v>10943</v>
      </c>
    </row>
    <row r="420" spans="1:2" ht="15">
      <c r="A420" s="77" t="s">
        <v>4240</v>
      </c>
      <c r="B420" s="76" t="s">
        <v>10943</v>
      </c>
    </row>
    <row r="421" spans="1:2" ht="15">
      <c r="A421" s="77" t="s">
        <v>4241</v>
      </c>
      <c r="B421" s="76" t="s">
        <v>10943</v>
      </c>
    </row>
    <row r="422" spans="1:2" ht="15">
      <c r="A422" s="77" t="s">
        <v>4242</v>
      </c>
      <c r="B422" s="76" t="s">
        <v>10943</v>
      </c>
    </row>
    <row r="423" spans="1:2" ht="15">
      <c r="A423" s="77" t="s">
        <v>4243</v>
      </c>
      <c r="B423" s="76" t="s">
        <v>10943</v>
      </c>
    </row>
    <row r="424" spans="1:2" ht="15">
      <c r="A424" s="77" t="s">
        <v>4244</v>
      </c>
      <c r="B424" s="76" t="s">
        <v>10943</v>
      </c>
    </row>
    <row r="425" spans="1:2" ht="15">
      <c r="A425" s="77" t="s">
        <v>4245</v>
      </c>
      <c r="B425" s="76" t="s">
        <v>10943</v>
      </c>
    </row>
    <row r="426" spans="1:2" ht="15">
      <c r="A426" s="77" t="s">
        <v>4246</v>
      </c>
      <c r="B426" s="76" t="s">
        <v>10943</v>
      </c>
    </row>
    <row r="427" spans="1:2" ht="15">
      <c r="A427" s="77" t="s">
        <v>4247</v>
      </c>
      <c r="B427" s="76" t="s">
        <v>10943</v>
      </c>
    </row>
    <row r="428" spans="1:2" ht="15">
      <c r="A428" s="77" t="s">
        <v>4248</v>
      </c>
      <c r="B428" s="76" t="s">
        <v>10943</v>
      </c>
    </row>
    <row r="429" spans="1:2" ht="15">
      <c r="A429" s="77" t="s">
        <v>4249</v>
      </c>
      <c r="B429" s="76" t="s">
        <v>10943</v>
      </c>
    </row>
    <row r="430" spans="1:2" ht="15">
      <c r="A430" s="77" t="s">
        <v>4250</v>
      </c>
      <c r="B430" s="76" t="s">
        <v>10943</v>
      </c>
    </row>
    <row r="431" spans="1:2" ht="15">
      <c r="A431" s="77" t="s">
        <v>4251</v>
      </c>
      <c r="B431" s="76" t="s">
        <v>10943</v>
      </c>
    </row>
    <row r="432" spans="1:2" ht="15">
      <c r="A432" s="77" t="s">
        <v>4252</v>
      </c>
      <c r="B432" s="76" t="s">
        <v>10943</v>
      </c>
    </row>
    <row r="433" spans="1:2" ht="15">
      <c r="A433" s="77" t="s">
        <v>4253</v>
      </c>
      <c r="B433" s="76" t="s">
        <v>10943</v>
      </c>
    </row>
    <row r="434" spans="1:2" ht="15">
      <c r="A434" s="77" t="s">
        <v>4254</v>
      </c>
      <c r="B434" s="76" t="s">
        <v>10943</v>
      </c>
    </row>
    <row r="435" spans="1:2" ht="15">
      <c r="A435" s="77" t="s">
        <v>4255</v>
      </c>
      <c r="B435" s="76" t="s">
        <v>10943</v>
      </c>
    </row>
    <row r="436" spans="1:2" ht="15">
      <c r="A436" s="77" t="s">
        <v>4256</v>
      </c>
      <c r="B436" s="76" t="s">
        <v>10943</v>
      </c>
    </row>
    <row r="437" spans="1:2" ht="15">
      <c r="A437" s="77" t="s">
        <v>4257</v>
      </c>
      <c r="B437" s="76" t="s">
        <v>10943</v>
      </c>
    </row>
    <row r="438" spans="1:2" ht="15">
      <c r="A438" s="77" t="s">
        <v>4258</v>
      </c>
      <c r="B438" s="76" t="s">
        <v>10943</v>
      </c>
    </row>
    <row r="439" spans="1:2" ht="15">
      <c r="A439" s="77" t="s">
        <v>4259</v>
      </c>
      <c r="B439" s="76" t="s">
        <v>10943</v>
      </c>
    </row>
    <row r="440" spans="1:2" ht="15">
      <c r="A440" s="77" t="s">
        <v>4260</v>
      </c>
      <c r="B440" s="76" t="s">
        <v>10943</v>
      </c>
    </row>
    <row r="441" spans="1:2" ht="15">
      <c r="A441" s="77" t="s">
        <v>4261</v>
      </c>
      <c r="B441" s="76" t="s">
        <v>10943</v>
      </c>
    </row>
    <row r="442" spans="1:2" ht="15">
      <c r="A442" s="77" t="s">
        <v>4262</v>
      </c>
      <c r="B442" s="76" t="s">
        <v>10943</v>
      </c>
    </row>
    <row r="443" spans="1:2" ht="15">
      <c r="A443" s="77" t="s">
        <v>4263</v>
      </c>
      <c r="B443" s="76" t="s">
        <v>10943</v>
      </c>
    </row>
    <row r="444" spans="1:2" ht="15">
      <c r="A444" s="77" t="s">
        <v>4264</v>
      </c>
      <c r="B444" s="76" t="s">
        <v>10943</v>
      </c>
    </row>
    <row r="445" spans="1:2" ht="15">
      <c r="A445" s="77" t="s">
        <v>4265</v>
      </c>
      <c r="B445" s="76" t="s">
        <v>10943</v>
      </c>
    </row>
    <row r="446" spans="1:2" ht="15">
      <c r="A446" s="77" t="s">
        <v>4266</v>
      </c>
      <c r="B446" s="76" t="s">
        <v>10943</v>
      </c>
    </row>
    <row r="447" spans="1:2" ht="15">
      <c r="A447" s="77" t="s">
        <v>4267</v>
      </c>
      <c r="B447" s="76" t="s">
        <v>10943</v>
      </c>
    </row>
    <row r="448" spans="1:2" ht="15">
      <c r="A448" s="77" t="s">
        <v>4268</v>
      </c>
      <c r="B448" s="76" t="s">
        <v>10943</v>
      </c>
    </row>
    <row r="449" spans="1:2" ht="15">
      <c r="A449" s="77" t="s">
        <v>4269</v>
      </c>
      <c r="B449" s="76" t="s">
        <v>10943</v>
      </c>
    </row>
    <row r="450" spans="1:2" ht="15">
      <c r="A450" s="77" t="s">
        <v>4270</v>
      </c>
      <c r="B450" s="76" t="s">
        <v>10943</v>
      </c>
    </row>
    <row r="451" spans="1:2" ht="15">
      <c r="A451" s="77" t="s">
        <v>4271</v>
      </c>
      <c r="B451" s="76" t="s">
        <v>10943</v>
      </c>
    </row>
    <row r="452" spans="1:2" ht="15">
      <c r="A452" s="77" t="s">
        <v>4272</v>
      </c>
      <c r="B452" s="76" t="s">
        <v>10943</v>
      </c>
    </row>
    <row r="453" spans="1:2" ht="15">
      <c r="A453" s="77" t="s">
        <v>4273</v>
      </c>
      <c r="B453" s="76" t="s">
        <v>10943</v>
      </c>
    </row>
    <row r="454" spans="1:2" ht="15">
      <c r="A454" s="77" t="s">
        <v>4274</v>
      </c>
      <c r="B454" s="76" t="s">
        <v>10943</v>
      </c>
    </row>
    <row r="455" spans="1:2" ht="15">
      <c r="A455" s="77" t="s">
        <v>4275</v>
      </c>
      <c r="B455" s="76" t="s">
        <v>10943</v>
      </c>
    </row>
    <row r="456" spans="1:2" ht="15">
      <c r="A456" s="77" t="s">
        <v>4276</v>
      </c>
      <c r="B456" s="76" t="s">
        <v>10943</v>
      </c>
    </row>
    <row r="457" spans="1:2" ht="15">
      <c r="A457" s="77" t="s">
        <v>4277</v>
      </c>
      <c r="B457" s="76" t="s">
        <v>10943</v>
      </c>
    </row>
    <row r="458" spans="1:2" ht="15">
      <c r="A458" s="77" t="s">
        <v>4278</v>
      </c>
      <c r="B458" s="76" t="s">
        <v>10943</v>
      </c>
    </row>
    <row r="459" spans="1:2" ht="15">
      <c r="A459" s="77" t="s">
        <v>4279</v>
      </c>
      <c r="B459" s="76" t="s">
        <v>10943</v>
      </c>
    </row>
    <row r="460" spans="1:2" ht="15">
      <c r="A460" s="77" t="s">
        <v>4280</v>
      </c>
      <c r="B460" s="76" t="s">
        <v>10943</v>
      </c>
    </row>
    <row r="461" spans="1:2" ht="15">
      <c r="A461" s="77" t="s">
        <v>4281</v>
      </c>
      <c r="B461" s="76" t="s">
        <v>10943</v>
      </c>
    </row>
    <row r="462" spans="1:2" ht="15">
      <c r="A462" s="77" t="s">
        <v>4282</v>
      </c>
      <c r="B462" s="76" t="s">
        <v>10943</v>
      </c>
    </row>
    <row r="463" spans="1:2" ht="15">
      <c r="A463" s="77" t="s">
        <v>4283</v>
      </c>
      <c r="B463" s="76" t="s">
        <v>10943</v>
      </c>
    </row>
    <row r="464" spans="1:2" ht="15">
      <c r="A464" s="77" t="s">
        <v>4284</v>
      </c>
      <c r="B464" s="76" t="s">
        <v>10943</v>
      </c>
    </row>
    <row r="465" spans="1:2" ht="15">
      <c r="A465" s="77" t="s">
        <v>4285</v>
      </c>
      <c r="B465" s="76" t="s">
        <v>10943</v>
      </c>
    </row>
    <row r="466" spans="1:2" ht="15">
      <c r="A466" s="77" t="s">
        <v>4286</v>
      </c>
      <c r="B466" s="76" t="s">
        <v>10943</v>
      </c>
    </row>
    <row r="467" spans="1:2" ht="15">
      <c r="A467" s="77" t="s">
        <v>4287</v>
      </c>
      <c r="B467" s="76" t="s">
        <v>10943</v>
      </c>
    </row>
    <row r="468" spans="1:2" ht="15">
      <c r="A468" s="77" t="s">
        <v>4288</v>
      </c>
      <c r="B468" s="76" t="s">
        <v>10943</v>
      </c>
    </row>
    <row r="469" spans="1:2" ht="15">
      <c r="A469" s="77" t="s">
        <v>4289</v>
      </c>
      <c r="B469" s="76" t="s">
        <v>10943</v>
      </c>
    </row>
    <row r="470" spans="1:2" ht="15">
      <c r="A470" s="77" t="s">
        <v>4290</v>
      </c>
      <c r="B470" s="76" t="s">
        <v>10943</v>
      </c>
    </row>
    <row r="471" spans="1:2" ht="15">
      <c r="A471" s="77" t="s">
        <v>4291</v>
      </c>
      <c r="B471" s="76" t="s">
        <v>10943</v>
      </c>
    </row>
    <row r="472" spans="1:2" ht="15">
      <c r="A472" s="77" t="s">
        <v>4292</v>
      </c>
      <c r="B472" s="76" t="s">
        <v>10943</v>
      </c>
    </row>
    <row r="473" spans="1:2" ht="15">
      <c r="A473" s="77" t="s">
        <v>4293</v>
      </c>
      <c r="B473" s="76" t="s">
        <v>10943</v>
      </c>
    </row>
    <row r="474" spans="1:2" ht="15">
      <c r="A474" s="77" t="s">
        <v>4294</v>
      </c>
      <c r="B474" s="76" t="s">
        <v>10943</v>
      </c>
    </row>
    <row r="475" spans="1:2" ht="15">
      <c r="A475" s="77" t="s">
        <v>4295</v>
      </c>
      <c r="B475" s="76" t="s">
        <v>10943</v>
      </c>
    </row>
    <row r="476" spans="1:2" ht="15">
      <c r="A476" s="77" t="s">
        <v>4296</v>
      </c>
      <c r="B476" s="76" t="s">
        <v>10943</v>
      </c>
    </row>
    <row r="477" spans="1:2" ht="15">
      <c r="A477" s="77" t="s">
        <v>4297</v>
      </c>
      <c r="B477" s="76" t="s">
        <v>10943</v>
      </c>
    </row>
    <row r="478" spans="1:2" ht="15">
      <c r="A478" s="77" t="s">
        <v>4298</v>
      </c>
      <c r="B478" s="76" t="s">
        <v>10943</v>
      </c>
    </row>
    <row r="479" spans="1:2" ht="15">
      <c r="A479" s="77" t="s">
        <v>4299</v>
      </c>
      <c r="B479" s="76" t="s">
        <v>10943</v>
      </c>
    </row>
    <row r="480" spans="1:2" ht="15">
      <c r="A480" s="77" t="s">
        <v>4300</v>
      </c>
      <c r="B480" s="76" t="s">
        <v>10943</v>
      </c>
    </row>
    <row r="481" spans="1:2" ht="15">
      <c r="A481" s="77" t="s">
        <v>4301</v>
      </c>
      <c r="B481" s="76" t="s">
        <v>10943</v>
      </c>
    </row>
    <row r="482" spans="1:2" ht="15">
      <c r="A482" s="77" t="s">
        <v>4302</v>
      </c>
      <c r="B482" s="76" t="s">
        <v>10943</v>
      </c>
    </row>
    <row r="483" spans="1:2" ht="15">
      <c r="A483" s="77" t="s">
        <v>4303</v>
      </c>
      <c r="B483" s="76" t="s">
        <v>10943</v>
      </c>
    </row>
    <row r="484" spans="1:2" ht="15">
      <c r="A484" s="77" t="s">
        <v>4304</v>
      </c>
      <c r="B484" s="76" t="s">
        <v>10943</v>
      </c>
    </row>
    <row r="485" spans="1:2" ht="15">
      <c r="A485" s="77" t="s">
        <v>4305</v>
      </c>
      <c r="B485" s="76" t="s">
        <v>10943</v>
      </c>
    </row>
    <row r="486" spans="1:2" ht="15">
      <c r="A486" s="77" t="s">
        <v>4306</v>
      </c>
      <c r="B486" s="76" t="s">
        <v>10943</v>
      </c>
    </row>
    <row r="487" spans="1:2" ht="15">
      <c r="A487" s="77" t="s">
        <v>4307</v>
      </c>
      <c r="B487" s="76" t="s">
        <v>10943</v>
      </c>
    </row>
    <row r="488" spans="1:2" ht="15">
      <c r="A488" s="77" t="s">
        <v>4308</v>
      </c>
      <c r="B488" s="76" t="s">
        <v>10943</v>
      </c>
    </row>
    <row r="489" spans="1:2" ht="15">
      <c r="A489" s="77" t="s">
        <v>4309</v>
      </c>
      <c r="B489" s="76" t="s">
        <v>10943</v>
      </c>
    </row>
    <row r="490" spans="1:2" ht="15">
      <c r="A490" s="77" t="s">
        <v>4310</v>
      </c>
      <c r="B490" s="76" t="s">
        <v>10943</v>
      </c>
    </row>
    <row r="491" spans="1:2" ht="15">
      <c r="A491" s="77" t="s">
        <v>4311</v>
      </c>
      <c r="B491" s="76" t="s">
        <v>10943</v>
      </c>
    </row>
    <row r="492" spans="1:2" ht="15">
      <c r="A492" s="77" t="s">
        <v>4312</v>
      </c>
      <c r="B492" s="76" t="s">
        <v>10943</v>
      </c>
    </row>
    <row r="493" spans="1:2" ht="15">
      <c r="A493" s="77" t="s">
        <v>4313</v>
      </c>
      <c r="B493" s="76" t="s">
        <v>10943</v>
      </c>
    </row>
    <row r="494" spans="1:2" ht="15">
      <c r="A494" s="77" t="s">
        <v>4314</v>
      </c>
      <c r="B494" s="76" t="s">
        <v>10943</v>
      </c>
    </row>
    <row r="495" spans="1:2" ht="15">
      <c r="A495" s="77" t="s">
        <v>4315</v>
      </c>
      <c r="B495" s="76" t="s">
        <v>10943</v>
      </c>
    </row>
    <row r="496" spans="1:2" ht="15">
      <c r="A496" s="77" t="s">
        <v>4316</v>
      </c>
      <c r="B496" s="76" t="s">
        <v>10943</v>
      </c>
    </row>
    <row r="497" spans="1:2" ht="15">
      <c r="A497" s="77" t="s">
        <v>4317</v>
      </c>
      <c r="B497" s="76" t="s">
        <v>10943</v>
      </c>
    </row>
    <row r="498" spans="1:2" ht="15">
      <c r="A498" s="77" t="s">
        <v>4318</v>
      </c>
      <c r="B498" s="76" t="s">
        <v>10943</v>
      </c>
    </row>
    <row r="499" spans="1:2" ht="15">
      <c r="A499" s="77" t="s">
        <v>4319</v>
      </c>
      <c r="B499" s="76" t="s">
        <v>10943</v>
      </c>
    </row>
    <row r="500" spans="1:2" ht="15">
      <c r="A500" s="77" t="s">
        <v>4320</v>
      </c>
      <c r="B500" s="76" t="s">
        <v>10943</v>
      </c>
    </row>
    <row r="501" spans="1:2" ht="15">
      <c r="A501" s="77" t="s">
        <v>4321</v>
      </c>
      <c r="B501" s="76" t="s">
        <v>10943</v>
      </c>
    </row>
    <row r="502" spans="1:2" ht="15">
      <c r="A502" s="77" t="s">
        <v>4322</v>
      </c>
      <c r="B502" s="76" t="s">
        <v>10943</v>
      </c>
    </row>
    <row r="503" spans="1:2" ht="15">
      <c r="A503" s="77" t="s">
        <v>4323</v>
      </c>
      <c r="B503" s="76" t="s">
        <v>10943</v>
      </c>
    </row>
    <row r="504" spans="1:2" ht="15">
      <c r="A504" s="77" t="s">
        <v>4324</v>
      </c>
      <c r="B504" s="76" t="s">
        <v>10943</v>
      </c>
    </row>
    <row r="505" spans="1:2" ht="15">
      <c r="A505" s="77" t="s">
        <v>4325</v>
      </c>
      <c r="B505" s="76" t="s">
        <v>10943</v>
      </c>
    </row>
    <row r="506" spans="1:2" ht="15">
      <c r="A506" s="77" t="s">
        <v>4326</v>
      </c>
      <c r="B506" s="76" t="s">
        <v>10943</v>
      </c>
    </row>
    <row r="507" spans="1:2" ht="15">
      <c r="A507" s="77" t="s">
        <v>4327</v>
      </c>
      <c r="B507" s="76" t="s">
        <v>10943</v>
      </c>
    </row>
    <row r="508" spans="1:2" ht="15">
      <c r="A508" s="77" t="s">
        <v>4328</v>
      </c>
      <c r="B508" s="76" t="s">
        <v>10943</v>
      </c>
    </row>
    <row r="509" spans="1:2" ht="15">
      <c r="A509" s="77" t="s">
        <v>4329</v>
      </c>
      <c r="B509" s="76" t="s">
        <v>10943</v>
      </c>
    </row>
    <row r="510" spans="1:2" ht="15">
      <c r="A510" s="77" t="s">
        <v>4330</v>
      </c>
      <c r="B510" s="76" t="s">
        <v>10943</v>
      </c>
    </row>
    <row r="511" spans="1:2" ht="15">
      <c r="A511" s="77" t="s">
        <v>4331</v>
      </c>
      <c r="B511" s="76" t="s">
        <v>10943</v>
      </c>
    </row>
    <row r="512" spans="1:2" ht="15">
      <c r="A512" s="77" t="s">
        <v>4332</v>
      </c>
      <c r="B512" s="76" t="s">
        <v>10943</v>
      </c>
    </row>
    <row r="513" spans="1:2" ht="15">
      <c r="A513" s="77" t="s">
        <v>4333</v>
      </c>
      <c r="B513" s="76" t="s">
        <v>10943</v>
      </c>
    </row>
    <row r="514" spans="1:2" ht="15">
      <c r="A514" s="77" t="s">
        <v>4334</v>
      </c>
      <c r="B514" s="76" t="s">
        <v>10943</v>
      </c>
    </row>
    <row r="515" spans="1:2" ht="15">
      <c r="A515" s="77" t="s">
        <v>4335</v>
      </c>
      <c r="B515" s="76" t="s">
        <v>10943</v>
      </c>
    </row>
    <row r="516" spans="1:2" ht="15">
      <c r="A516" s="77" t="s">
        <v>4336</v>
      </c>
      <c r="B516" s="76" t="s">
        <v>10943</v>
      </c>
    </row>
    <row r="517" spans="1:2" ht="15">
      <c r="A517" s="77" t="s">
        <v>4337</v>
      </c>
      <c r="B517" s="76" t="s">
        <v>10943</v>
      </c>
    </row>
    <row r="518" spans="1:2" ht="15">
      <c r="A518" s="77" t="s">
        <v>4338</v>
      </c>
      <c r="B518" s="76" t="s">
        <v>10943</v>
      </c>
    </row>
    <row r="519" spans="1:2" ht="15">
      <c r="A519" s="77" t="s">
        <v>4339</v>
      </c>
      <c r="B519" s="76" t="s">
        <v>10943</v>
      </c>
    </row>
    <row r="520" spans="1:2" ht="15">
      <c r="A520" s="77" t="s">
        <v>4340</v>
      </c>
      <c r="B520" s="76" t="s">
        <v>10943</v>
      </c>
    </row>
    <row r="521" spans="1:2" ht="15">
      <c r="A521" s="77" t="s">
        <v>4341</v>
      </c>
      <c r="B521" s="76" t="s">
        <v>10943</v>
      </c>
    </row>
    <row r="522" spans="1:2" ht="15">
      <c r="A522" s="77" t="s">
        <v>4342</v>
      </c>
      <c r="B522" s="76" t="s">
        <v>10943</v>
      </c>
    </row>
    <row r="523" spans="1:2" ht="15">
      <c r="A523" s="77" t="s">
        <v>4343</v>
      </c>
      <c r="B523" s="76" t="s">
        <v>10943</v>
      </c>
    </row>
    <row r="524" spans="1:2" ht="15">
      <c r="A524" s="77" t="s">
        <v>4344</v>
      </c>
      <c r="B524" s="76" t="s">
        <v>10943</v>
      </c>
    </row>
    <row r="525" spans="1:2" ht="15">
      <c r="A525" s="77" t="s">
        <v>4345</v>
      </c>
      <c r="B525" s="76" t="s">
        <v>10943</v>
      </c>
    </row>
    <row r="526" spans="1:2" ht="15">
      <c r="A526" s="77" t="s">
        <v>4346</v>
      </c>
      <c r="B526" s="76" t="s">
        <v>10943</v>
      </c>
    </row>
    <row r="527" spans="1:2" ht="15">
      <c r="A527" s="77" t="s">
        <v>4347</v>
      </c>
      <c r="B527" s="76" t="s">
        <v>10943</v>
      </c>
    </row>
    <row r="528" spans="1:2" ht="15">
      <c r="A528" s="77" t="s">
        <v>4348</v>
      </c>
      <c r="B528" s="76" t="s">
        <v>10943</v>
      </c>
    </row>
    <row r="529" spans="1:2" ht="15">
      <c r="A529" s="77" t="s">
        <v>4349</v>
      </c>
      <c r="B529" s="76" t="s">
        <v>10943</v>
      </c>
    </row>
    <row r="530" spans="1:2" ht="15">
      <c r="A530" s="77" t="s">
        <v>4350</v>
      </c>
      <c r="B530" s="76" t="s">
        <v>10944</v>
      </c>
    </row>
    <row r="531" spans="1:2" ht="15">
      <c r="A531" s="77" t="s">
        <v>4351</v>
      </c>
      <c r="B531" s="76" t="s">
        <v>10944</v>
      </c>
    </row>
    <row r="532" spans="1:2" ht="15">
      <c r="A532" s="77" t="s">
        <v>4352</v>
      </c>
      <c r="B532" s="76" t="s">
        <v>10944</v>
      </c>
    </row>
    <row r="533" spans="1:2" ht="15">
      <c r="A533" s="77" t="s">
        <v>4353</v>
      </c>
      <c r="B533" s="76" t="s">
        <v>10944</v>
      </c>
    </row>
    <row r="534" spans="1:2" ht="15">
      <c r="A534" s="77" t="s">
        <v>4354</v>
      </c>
      <c r="B534" s="76" t="s">
        <v>10944</v>
      </c>
    </row>
    <row r="535" spans="1:2" ht="15">
      <c r="A535" s="77" t="s">
        <v>4355</v>
      </c>
      <c r="B535" s="76" t="s">
        <v>10944</v>
      </c>
    </row>
    <row r="536" spans="1:2" ht="15">
      <c r="A536" s="77" t="s">
        <v>4356</v>
      </c>
      <c r="B536" s="76" t="s">
        <v>10944</v>
      </c>
    </row>
    <row r="537" spans="1:2" ht="15">
      <c r="A537" s="77" t="s">
        <v>4357</v>
      </c>
      <c r="B537" s="76" t="s">
        <v>10944</v>
      </c>
    </row>
    <row r="538" spans="1:2" ht="15">
      <c r="A538" s="77" t="s">
        <v>4358</v>
      </c>
      <c r="B538" s="76" t="s">
        <v>10944</v>
      </c>
    </row>
    <row r="539" spans="1:2" ht="15">
      <c r="A539" s="77" t="s">
        <v>4359</v>
      </c>
      <c r="B539" s="76" t="s">
        <v>10944</v>
      </c>
    </row>
    <row r="540" spans="1:2" ht="15">
      <c r="A540" s="77" t="s">
        <v>4360</v>
      </c>
      <c r="B540" s="76" t="s">
        <v>10944</v>
      </c>
    </row>
    <row r="541" spans="1:2" ht="15">
      <c r="A541" s="77" t="s">
        <v>4361</v>
      </c>
      <c r="B541" s="76" t="s">
        <v>10944</v>
      </c>
    </row>
    <row r="542" spans="1:2" ht="15">
      <c r="A542" s="77" t="s">
        <v>4362</v>
      </c>
      <c r="B542" s="76" t="s">
        <v>10944</v>
      </c>
    </row>
    <row r="543" spans="1:2" ht="15">
      <c r="A543" s="77" t="s">
        <v>4363</v>
      </c>
      <c r="B543" s="76" t="s">
        <v>10944</v>
      </c>
    </row>
    <row r="544" spans="1:2" ht="15">
      <c r="A544" s="77" t="s">
        <v>4364</v>
      </c>
      <c r="B544" s="76" t="s">
        <v>10944</v>
      </c>
    </row>
    <row r="545" spans="1:2" ht="15">
      <c r="A545" s="77" t="s">
        <v>4365</v>
      </c>
      <c r="B545" s="76" t="s">
        <v>10944</v>
      </c>
    </row>
    <row r="546" spans="1:2" ht="15">
      <c r="A546" s="77" t="s">
        <v>4366</v>
      </c>
      <c r="B546" s="76" t="s">
        <v>10944</v>
      </c>
    </row>
    <row r="547" spans="1:2" ht="15">
      <c r="A547" s="77" t="s">
        <v>4367</v>
      </c>
      <c r="B547" s="76" t="s">
        <v>10944</v>
      </c>
    </row>
    <row r="548" spans="1:2" ht="15">
      <c r="A548" s="77" t="s">
        <v>4368</v>
      </c>
      <c r="B548" s="76" t="s">
        <v>10944</v>
      </c>
    </row>
    <row r="549" spans="1:2" ht="15">
      <c r="A549" s="77" t="s">
        <v>4369</v>
      </c>
      <c r="B549" s="76" t="s">
        <v>10944</v>
      </c>
    </row>
    <row r="550" spans="1:2" ht="15">
      <c r="A550" s="77" t="s">
        <v>4370</v>
      </c>
      <c r="B550" s="76" t="s">
        <v>10944</v>
      </c>
    </row>
    <row r="551" spans="1:2" ht="15">
      <c r="A551" s="77" t="s">
        <v>4371</v>
      </c>
      <c r="B551" s="76" t="s">
        <v>10944</v>
      </c>
    </row>
    <row r="552" spans="1:2" ht="15">
      <c r="A552" s="77" t="s">
        <v>4372</v>
      </c>
      <c r="B552" s="76" t="s">
        <v>10944</v>
      </c>
    </row>
    <row r="553" spans="1:2" ht="15">
      <c r="A553" s="77" t="s">
        <v>4373</v>
      </c>
      <c r="B553" s="76" t="s">
        <v>10944</v>
      </c>
    </row>
    <row r="554" spans="1:2" ht="15">
      <c r="A554" s="77" t="s">
        <v>4374</v>
      </c>
      <c r="B554" s="76" t="s">
        <v>10944</v>
      </c>
    </row>
    <row r="555" spans="1:2" ht="15">
      <c r="A555" s="77" t="s">
        <v>4375</v>
      </c>
      <c r="B555" s="76" t="s">
        <v>10944</v>
      </c>
    </row>
    <row r="556" spans="1:2" ht="15">
      <c r="A556" s="77" t="s">
        <v>4376</v>
      </c>
      <c r="B556" s="76" t="s">
        <v>10944</v>
      </c>
    </row>
    <row r="557" spans="1:2" ht="15">
      <c r="A557" s="77" t="s">
        <v>4377</v>
      </c>
      <c r="B557" s="76" t="s">
        <v>10944</v>
      </c>
    </row>
    <row r="558" spans="1:2" ht="15">
      <c r="A558" s="77" t="s">
        <v>4378</v>
      </c>
      <c r="B558" s="76" t="s">
        <v>10944</v>
      </c>
    </row>
    <row r="559" spans="1:2" ht="15">
      <c r="A559" s="77" t="s">
        <v>4379</v>
      </c>
      <c r="B559" s="76" t="s">
        <v>10944</v>
      </c>
    </row>
    <row r="560" spans="1:2" ht="15">
      <c r="A560" s="77" t="s">
        <v>4380</v>
      </c>
      <c r="B560" s="76" t="s">
        <v>10944</v>
      </c>
    </row>
    <row r="561" spans="1:2" ht="15">
      <c r="A561" s="77" t="s">
        <v>4381</v>
      </c>
      <c r="B561" s="76" t="s">
        <v>10944</v>
      </c>
    </row>
    <row r="562" spans="1:2" ht="15">
      <c r="A562" s="77" t="s">
        <v>4382</v>
      </c>
      <c r="B562" s="76" t="s">
        <v>10944</v>
      </c>
    </row>
    <row r="563" spans="1:2" ht="15">
      <c r="A563" s="77" t="s">
        <v>4383</v>
      </c>
      <c r="B563" s="76" t="s">
        <v>10944</v>
      </c>
    </row>
    <row r="564" spans="1:2" ht="15">
      <c r="A564" s="77" t="s">
        <v>4384</v>
      </c>
      <c r="B564" s="76" t="s">
        <v>10944</v>
      </c>
    </row>
    <row r="565" spans="1:2" ht="15">
      <c r="A565" s="77" t="s">
        <v>4385</v>
      </c>
      <c r="B565" s="76" t="s">
        <v>10944</v>
      </c>
    </row>
    <row r="566" spans="1:2" ht="15">
      <c r="A566" s="77" t="s">
        <v>4386</v>
      </c>
      <c r="B566" s="76" t="s">
        <v>10944</v>
      </c>
    </row>
    <row r="567" spans="1:2" ht="15">
      <c r="A567" s="77" t="s">
        <v>4387</v>
      </c>
      <c r="B567" s="76" t="s">
        <v>10944</v>
      </c>
    </row>
    <row r="568" spans="1:2" ht="15">
      <c r="A568" s="77" t="s">
        <v>4388</v>
      </c>
      <c r="B568" s="76" t="s">
        <v>10944</v>
      </c>
    </row>
    <row r="569" spans="1:2" ht="15">
      <c r="A569" s="77" t="s">
        <v>4389</v>
      </c>
      <c r="B569" s="76" t="s">
        <v>10944</v>
      </c>
    </row>
    <row r="570" spans="1:2" ht="15">
      <c r="A570" s="77" t="s">
        <v>4390</v>
      </c>
      <c r="B570" s="76" t="s">
        <v>10944</v>
      </c>
    </row>
    <row r="571" spans="1:2" ht="15">
      <c r="A571" s="77" t="s">
        <v>4391</v>
      </c>
      <c r="B571" s="76" t="s">
        <v>10944</v>
      </c>
    </row>
    <row r="572" spans="1:2" ht="15">
      <c r="A572" s="77" t="s">
        <v>4392</v>
      </c>
      <c r="B572" s="76" t="s">
        <v>10944</v>
      </c>
    </row>
    <row r="573" spans="1:2" ht="15">
      <c r="A573" s="77" t="s">
        <v>4393</v>
      </c>
      <c r="B573" s="76" t="s">
        <v>10944</v>
      </c>
    </row>
    <row r="574" spans="1:2" ht="15">
      <c r="A574" s="77" t="s">
        <v>4394</v>
      </c>
      <c r="B574" s="76" t="s">
        <v>10944</v>
      </c>
    </row>
    <row r="575" spans="1:2" ht="15">
      <c r="A575" s="77" t="s">
        <v>4395</v>
      </c>
      <c r="B575" s="76" t="s">
        <v>10944</v>
      </c>
    </row>
    <row r="576" spans="1:2" ht="15">
      <c r="A576" s="77" t="s">
        <v>4396</v>
      </c>
      <c r="B576" s="76" t="s">
        <v>10944</v>
      </c>
    </row>
    <row r="577" spans="1:2" ht="15">
      <c r="A577" s="77" t="s">
        <v>4397</v>
      </c>
      <c r="B577" s="76" t="s">
        <v>10944</v>
      </c>
    </row>
    <row r="578" spans="1:2" ht="15">
      <c r="A578" s="77" t="s">
        <v>4398</v>
      </c>
      <c r="B578" s="76" t="s">
        <v>10944</v>
      </c>
    </row>
    <row r="579" spans="1:2" ht="15">
      <c r="A579" s="77" t="s">
        <v>4399</v>
      </c>
      <c r="B579" s="76" t="s">
        <v>10944</v>
      </c>
    </row>
    <row r="580" spans="1:2" ht="15">
      <c r="A580" s="77" t="s">
        <v>4400</v>
      </c>
      <c r="B580" s="76" t="s">
        <v>10944</v>
      </c>
    </row>
    <row r="581" spans="1:2" ht="15">
      <c r="A581" s="77" t="s">
        <v>4401</v>
      </c>
      <c r="B581" s="76" t="s">
        <v>10944</v>
      </c>
    </row>
    <row r="582" spans="1:2" ht="15">
      <c r="A582" s="77" t="s">
        <v>4402</v>
      </c>
      <c r="B582" s="76" t="s">
        <v>10944</v>
      </c>
    </row>
    <row r="583" spans="1:2" ht="15">
      <c r="A583" s="77" t="s">
        <v>4403</v>
      </c>
      <c r="B583" s="76" t="s">
        <v>10944</v>
      </c>
    </row>
    <row r="584" spans="1:2" ht="15">
      <c r="A584" s="77" t="s">
        <v>4404</v>
      </c>
      <c r="B584" s="76" t="s">
        <v>10944</v>
      </c>
    </row>
    <row r="585" spans="1:2" ht="15">
      <c r="A585" s="77" t="s">
        <v>4405</v>
      </c>
      <c r="B585" s="76" t="s">
        <v>10944</v>
      </c>
    </row>
    <row r="586" spans="1:2" ht="15">
      <c r="A586" s="77" t="s">
        <v>4406</v>
      </c>
      <c r="B586" s="76" t="s">
        <v>10944</v>
      </c>
    </row>
    <row r="587" spans="1:2" ht="15">
      <c r="A587" s="77" t="s">
        <v>4407</v>
      </c>
      <c r="B587" s="76" t="s">
        <v>10944</v>
      </c>
    </row>
    <row r="588" spans="1:2" ht="15">
      <c r="A588" s="77" t="s">
        <v>4408</v>
      </c>
      <c r="B588" s="76" t="s">
        <v>10944</v>
      </c>
    </row>
    <row r="589" spans="1:2" ht="15">
      <c r="A589" s="77" t="s">
        <v>4409</v>
      </c>
      <c r="B589" s="76" t="s">
        <v>10944</v>
      </c>
    </row>
    <row r="590" spans="1:2" ht="15">
      <c r="A590" s="77" t="s">
        <v>4410</v>
      </c>
      <c r="B590" s="76" t="s">
        <v>10944</v>
      </c>
    </row>
    <row r="591" spans="1:2" ht="15">
      <c r="A591" s="77" t="s">
        <v>4411</v>
      </c>
      <c r="B591" s="76" t="s">
        <v>10944</v>
      </c>
    </row>
    <row r="592" spans="1:2" ht="15">
      <c r="A592" s="77" t="s">
        <v>4412</v>
      </c>
      <c r="B592" s="76" t="s">
        <v>10944</v>
      </c>
    </row>
    <row r="593" spans="1:2" ht="15">
      <c r="A593" s="77" t="s">
        <v>4413</v>
      </c>
      <c r="B593" s="76" t="s">
        <v>10944</v>
      </c>
    </row>
    <row r="594" spans="1:2" ht="15">
      <c r="A594" s="77" t="s">
        <v>4414</v>
      </c>
      <c r="B594" s="76" t="s">
        <v>10944</v>
      </c>
    </row>
    <row r="595" spans="1:2" ht="15">
      <c r="A595" s="77" t="s">
        <v>4415</v>
      </c>
      <c r="B595" s="76" t="s">
        <v>10944</v>
      </c>
    </row>
    <row r="596" spans="1:2" ht="15">
      <c r="A596" s="77" t="s">
        <v>4416</v>
      </c>
      <c r="B596" s="76" t="s">
        <v>10944</v>
      </c>
    </row>
    <row r="597" spans="1:2" ht="15">
      <c r="A597" s="77" t="s">
        <v>4417</v>
      </c>
      <c r="B597" s="76" t="s">
        <v>10944</v>
      </c>
    </row>
    <row r="598" spans="1:2" ht="15">
      <c r="A598" s="77" t="s">
        <v>4418</v>
      </c>
      <c r="B598" s="76" t="s">
        <v>10944</v>
      </c>
    </row>
    <row r="599" spans="1:2" ht="15">
      <c r="A599" s="77" t="s">
        <v>3326</v>
      </c>
      <c r="B599" s="76" t="s">
        <v>10944</v>
      </c>
    </row>
    <row r="600" spans="1:2" ht="15">
      <c r="A600" s="77" t="s">
        <v>4419</v>
      </c>
      <c r="B600" s="76" t="s">
        <v>10944</v>
      </c>
    </row>
    <row r="601" spans="1:2" ht="15">
      <c r="A601" s="77" t="s">
        <v>4420</v>
      </c>
      <c r="B601" s="76" t="s">
        <v>10944</v>
      </c>
    </row>
    <row r="602" spans="1:2" ht="15">
      <c r="A602" s="77" t="s">
        <v>4421</v>
      </c>
      <c r="B602" s="76" t="s">
        <v>10944</v>
      </c>
    </row>
    <row r="603" spans="1:2" ht="15">
      <c r="A603" s="77" t="s">
        <v>4422</v>
      </c>
      <c r="B603" s="76" t="s">
        <v>10944</v>
      </c>
    </row>
    <row r="604" spans="1:2" ht="15">
      <c r="A604" s="77" t="s">
        <v>4423</v>
      </c>
      <c r="B604" s="76" t="s">
        <v>10944</v>
      </c>
    </row>
    <row r="605" spans="1:2" ht="15">
      <c r="A605" s="77" t="s">
        <v>4424</v>
      </c>
      <c r="B605" s="76" t="s">
        <v>10944</v>
      </c>
    </row>
    <row r="606" spans="1:2" ht="15">
      <c r="A606" s="77" t="s">
        <v>4425</v>
      </c>
      <c r="B606" s="76" t="s">
        <v>10944</v>
      </c>
    </row>
    <row r="607" spans="1:2" ht="15">
      <c r="A607" s="77" t="s">
        <v>4426</v>
      </c>
      <c r="B607" s="76" t="s">
        <v>10944</v>
      </c>
    </row>
    <row r="608" spans="1:2" ht="15">
      <c r="A608" s="77" t="s">
        <v>4427</v>
      </c>
      <c r="B608" s="76" t="s">
        <v>10944</v>
      </c>
    </row>
    <row r="609" spans="1:2" ht="15">
      <c r="A609" s="77" t="s">
        <v>4428</v>
      </c>
      <c r="B609" s="76" t="s">
        <v>10944</v>
      </c>
    </row>
    <row r="610" spans="1:2" ht="15">
      <c r="A610" s="77" t="s">
        <v>4429</v>
      </c>
      <c r="B610" s="76" t="s">
        <v>10944</v>
      </c>
    </row>
    <row r="611" spans="1:2" ht="15">
      <c r="A611" s="77" t="s">
        <v>4430</v>
      </c>
      <c r="B611" s="76" t="s">
        <v>10944</v>
      </c>
    </row>
    <row r="612" spans="1:2" ht="15">
      <c r="A612" s="77" t="s">
        <v>4431</v>
      </c>
      <c r="B612" s="76" t="s">
        <v>10944</v>
      </c>
    </row>
    <row r="613" spans="1:2" ht="15">
      <c r="A613" s="77" t="s">
        <v>4432</v>
      </c>
      <c r="B613" s="76" t="s">
        <v>10944</v>
      </c>
    </row>
    <row r="614" spans="1:2" ht="15">
      <c r="A614" s="77" t="s">
        <v>4433</v>
      </c>
      <c r="B614" s="76" t="s">
        <v>10944</v>
      </c>
    </row>
    <row r="615" spans="1:2" ht="15">
      <c r="A615" s="77" t="s">
        <v>4434</v>
      </c>
      <c r="B615" s="76" t="s">
        <v>10944</v>
      </c>
    </row>
    <row r="616" spans="1:2" ht="15">
      <c r="A616" s="77" t="s">
        <v>4435</v>
      </c>
      <c r="B616" s="76" t="s">
        <v>10944</v>
      </c>
    </row>
    <row r="617" spans="1:2" ht="15">
      <c r="A617" s="77" t="s">
        <v>4436</v>
      </c>
      <c r="B617" s="76" t="s">
        <v>10944</v>
      </c>
    </row>
    <row r="618" spans="1:2" ht="15">
      <c r="A618" s="77" t="s">
        <v>2899</v>
      </c>
      <c r="B618" s="76" t="s">
        <v>10944</v>
      </c>
    </row>
    <row r="619" spans="1:2" ht="15">
      <c r="A619" s="77" t="s">
        <v>4437</v>
      </c>
      <c r="B619" s="76" t="s">
        <v>10944</v>
      </c>
    </row>
    <row r="620" spans="1:2" ht="15">
      <c r="A620" s="77" t="s">
        <v>4438</v>
      </c>
      <c r="B620" s="76" t="s">
        <v>10944</v>
      </c>
    </row>
    <row r="621" spans="1:2" ht="15">
      <c r="A621" s="77" t="s">
        <v>4439</v>
      </c>
      <c r="B621" s="76" t="s">
        <v>10944</v>
      </c>
    </row>
    <row r="622" spans="1:2" ht="15">
      <c r="A622" s="77" t="s">
        <v>4440</v>
      </c>
      <c r="B622" s="76" t="s">
        <v>10944</v>
      </c>
    </row>
    <row r="623" spans="1:2" ht="15">
      <c r="A623" s="77" t="s">
        <v>4441</v>
      </c>
      <c r="B623" s="76" t="s">
        <v>10944</v>
      </c>
    </row>
    <row r="624" spans="1:2" ht="15">
      <c r="A624" s="77" t="s">
        <v>4442</v>
      </c>
      <c r="B624" s="76" t="s">
        <v>10944</v>
      </c>
    </row>
    <row r="625" spans="1:2" ht="15">
      <c r="A625" s="77" t="s">
        <v>4443</v>
      </c>
      <c r="B625" s="76" t="s">
        <v>10944</v>
      </c>
    </row>
    <row r="626" spans="1:2" ht="15">
      <c r="A626" s="77" t="s">
        <v>4444</v>
      </c>
      <c r="B626" s="76" t="s">
        <v>10944</v>
      </c>
    </row>
    <row r="627" spans="1:2" ht="15">
      <c r="A627" s="77" t="s">
        <v>4445</v>
      </c>
      <c r="B627" s="76" t="s">
        <v>10944</v>
      </c>
    </row>
    <row r="628" spans="1:2" ht="15">
      <c r="A628" s="77" t="s">
        <v>4446</v>
      </c>
      <c r="B628" s="76" t="s">
        <v>10944</v>
      </c>
    </row>
    <row r="629" spans="1:2" ht="15">
      <c r="A629" s="77" t="s">
        <v>4447</v>
      </c>
      <c r="B629" s="76" t="s">
        <v>10944</v>
      </c>
    </row>
    <row r="630" spans="1:2" ht="15">
      <c r="A630" s="77" t="s">
        <v>4448</v>
      </c>
      <c r="B630" s="76" t="s">
        <v>10944</v>
      </c>
    </row>
    <row r="631" spans="1:2" ht="15">
      <c r="A631" s="77" t="s">
        <v>4449</v>
      </c>
      <c r="B631" s="76" t="s">
        <v>10944</v>
      </c>
    </row>
    <row r="632" spans="1:2" ht="15">
      <c r="A632" s="77" t="s">
        <v>4450</v>
      </c>
      <c r="B632" s="76" t="s">
        <v>10944</v>
      </c>
    </row>
    <row r="633" spans="1:2" ht="15">
      <c r="A633" s="77" t="s">
        <v>4451</v>
      </c>
      <c r="B633" s="76" t="s">
        <v>10944</v>
      </c>
    </row>
    <row r="634" spans="1:2" ht="15">
      <c r="A634" s="77" t="s">
        <v>4452</v>
      </c>
      <c r="B634" s="76" t="s">
        <v>10944</v>
      </c>
    </row>
    <row r="635" spans="1:2" ht="15">
      <c r="A635" s="77" t="s">
        <v>4453</v>
      </c>
      <c r="B635" s="76" t="s">
        <v>10944</v>
      </c>
    </row>
    <row r="636" spans="1:2" ht="15">
      <c r="A636" s="77" t="s">
        <v>4454</v>
      </c>
      <c r="B636" s="76" t="s">
        <v>10944</v>
      </c>
    </row>
    <row r="637" spans="1:2" ht="15">
      <c r="A637" s="77" t="s">
        <v>4455</v>
      </c>
      <c r="B637" s="76" t="s">
        <v>10944</v>
      </c>
    </row>
    <row r="638" spans="1:2" ht="15">
      <c r="A638" s="77" t="s">
        <v>4456</v>
      </c>
      <c r="B638" s="76" t="s">
        <v>10944</v>
      </c>
    </row>
    <row r="639" spans="1:2" ht="15">
      <c r="A639" s="77" t="s">
        <v>4457</v>
      </c>
      <c r="B639" s="76" t="s">
        <v>10944</v>
      </c>
    </row>
    <row r="640" spans="1:2" ht="15">
      <c r="A640" s="77" t="s">
        <v>4458</v>
      </c>
      <c r="B640" s="76" t="s">
        <v>10944</v>
      </c>
    </row>
    <row r="641" spans="1:2" ht="15">
      <c r="A641" s="77" t="s">
        <v>4459</v>
      </c>
      <c r="B641" s="76" t="s">
        <v>10944</v>
      </c>
    </row>
    <row r="642" spans="1:2" ht="15">
      <c r="A642" s="77" t="s">
        <v>4460</v>
      </c>
      <c r="B642" s="76" t="s">
        <v>10944</v>
      </c>
    </row>
    <row r="643" spans="1:2" ht="15">
      <c r="A643" s="77" t="s">
        <v>4461</v>
      </c>
      <c r="B643" s="76" t="s">
        <v>10944</v>
      </c>
    </row>
    <row r="644" spans="1:2" ht="15">
      <c r="A644" s="77" t="s">
        <v>4462</v>
      </c>
      <c r="B644" s="76" t="s">
        <v>10944</v>
      </c>
    </row>
    <row r="645" spans="1:2" ht="15">
      <c r="A645" s="77" t="s">
        <v>4463</v>
      </c>
      <c r="B645" s="76" t="s">
        <v>10944</v>
      </c>
    </row>
    <row r="646" spans="1:2" ht="15">
      <c r="A646" s="77" t="s">
        <v>4464</v>
      </c>
      <c r="B646" s="76" t="s">
        <v>10944</v>
      </c>
    </row>
    <row r="647" spans="1:2" ht="15">
      <c r="A647" s="77" t="s">
        <v>4465</v>
      </c>
      <c r="B647" s="76" t="s">
        <v>10944</v>
      </c>
    </row>
    <row r="648" spans="1:2" ht="15">
      <c r="A648" s="77" t="s">
        <v>4466</v>
      </c>
      <c r="B648" s="76" t="s">
        <v>10944</v>
      </c>
    </row>
    <row r="649" spans="1:2" ht="15">
      <c r="A649" s="77" t="s">
        <v>4467</v>
      </c>
      <c r="B649" s="76" t="s">
        <v>10944</v>
      </c>
    </row>
    <row r="650" spans="1:2" ht="15">
      <c r="A650" s="77" t="s">
        <v>4468</v>
      </c>
      <c r="B650" s="76" t="s">
        <v>10944</v>
      </c>
    </row>
    <row r="651" spans="1:2" ht="15">
      <c r="A651" s="77" t="s">
        <v>4469</v>
      </c>
      <c r="B651" s="76" t="s">
        <v>10944</v>
      </c>
    </row>
    <row r="652" spans="1:2" ht="15">
      <c r="A652" s="77" t="s">
        <v>4470</v>
      </c>
      <c r="B652" s="76" t="s">
        <v>10944</v>
      </c>
    </row>
    <row r="653" spans="1:2" ht="15">
      <c r="A653" s="77" t="s">
        <v>4471</v>
      </c>
      <c r="B653" s="76" t="s">
        <v>10944</v>
      </c>
    </row>
    <row r="654" spans="1:2" ht="15">
      <c r="A654" s="77" t="s">
        <v>4472</v>
      </c>
      <c r="B654" s="76" t="s">
        <v>10944</v>
      </c>
    </row>
    <row r="655" spans="1:2" ht="15">
      <c r="A655" s="77" t="s">
        <v>4473</v>
      </c>
      <c r="B655" s="76" t="s">
        <v>10944</v>
      </c>
    </row>
    <row r="656" spans="1:2" ht="15">
      <c r="A656" s="77" t="s">
        <v>4474</v>
      </c>
      <c r="B656" s="76" t="s">
        <v>10944</v>
      </c>
    </row>
    <row r="657" spans="1:2" ht="15">
      <c r="A657" s="77" t="s">
        <v>4475</v>
      </c>
      <c r="B657" s="76" t="s">
        <v>10944</v>
      </c>
    </row>
    <row r="658" spans="1:2" ht="15">
      <c r="A658" s="77" t="s">
        <v>4476</v>
      </c>
      <c r="B658" s="76" t="s">
        <v>10944</v>
      </c>
    </row>
    <row r="659" spans="1:2" ht="15">
      <c r="A659" s="77" t="s">
        <v>4477</v>
      </c>
      <c r="B659" s="76" t="s">
        <v>10944</v>
      </c>
    </row>
    <row r="660" spans="1:2" ht="15">
      <c r="A660" s="77" t="s">
        <v>4478</v>
      </c>
      <c r="B660" s="76" t="s">
        <v>10944</v>
      </c>
    </row>
    <row r="661" spans="1:2" ht="15">
      <c r="A661" s="77" t="s">
        <v>4479</v>
      </c>
      <c r="B661" s="76" t="s">
        <v>10944</v>
      </c>
    </row>
    <row r="662" spans="1:2" ht="15">
      <c r="A662" s="77" t="s">
        <v>4480</v>
      </c>
      <c r="B662" s="76" t="s">
        <v>10944</v>
      </c>
    </row>
    <row r="663" spans="1:2" ht="15">
      <c r="A663" s="77" t="s">
        <v>4481</v>
      </c>
      <c r="B663" s="76" t="s">
        <v>10944</v>
      </c>
    </row>
    <row r="664" spans="1:2" ht="15">
      <c r="A664" s="77" t="s">
        <v>4482</v>
      </c>
      <c r="B664" s="76" t="s">
        <v>10944</v>
      </c>
    </row>
    <row r="665" spans="1:2" ht="15">
      <c r="A665" s="77" t="s">
        <v>4483</v>
      </c>
      <c r="B665" s="76" t="s">
        <v>10944</v>
      </c>
    </row>
    <row r="666" spans="1:2" ht="15">
      <c r="A666" s="77" t="s">
        <v>4484</v>
      </c>
      <c r="B666" s="76" t="s">
        <v>10944</v>
      </c>
    </row>
    <row r="667" spans="1:2" ht="15">
      <c r="A667" s="77" t="s">
        <v>4485</v>
      </c>
      <c r="B667" s="76" t="s">
        <v>10944</v>
      </c>
    </row>
    <row r="668" spans="1:2" ht="15">
      <c r="A668" s="77" t="s">
        <v>4486</v>
      </c>
      <c r="B668" s="76" t="s">
        <v>10944</v>
      </c>
    </row>
    <row r="669" spans="1:2" ht="15">
      <c r="A669" s="77" t="s">
        <v>4487</v>
      </c>
      <c r="B669" s="76" t="s">
        <v>10944</v>
      </c>
    </row>
    <row r="670" spans="1:2" ht="15">
      <c r="A670" s="77" t="s">
        <v>4488</v>
      </c>
      <c r="B670" s="76" t="s">
        <v>10944</v>
      </c>
    </row>
    <row r="671" spans="1:2" ht="15">
      <c r="A671" s="77" t="s">
        <v>4489</v>
      </c>
      <c r="B671" s="76" t="s">
        <v>10944</v>
      </c>
    </row>
    <row r="672" spans="1:2" ht="15">
      <c r="A672" s="77" t="s">
        <v>4490</v>
      </c>
      <c r="B672" s="76" t="s">
        <v>10944</v>
      </c>
    </row>
    <row r="673" spans="1:2" ht="15">
      <c r="A673" s="77" t="s">
        <v>4491</v>
      </c>
      <c r="B673" s="76" t="s">
        <v>10944</v>
      </c>
    </row>
    <row r="674" spans="1:2" ht="15">
      <c r="A674" s="77" t="s">
        <v>4492</v>
      </c>
      <c r="B674" s="76" t="s">
        <v>10944</v>
      </c>
    </row>
    <row r="675" spans="1:2" ht="15">
      <c r="A675" s="77" t="s">
        <v>4493</v>
      </c>
      <c r="B675" s="76" t="s">
        <v>10944</v>
      </c>
    </row>
    <row r="676" spans="1:2" ht="15">
      <c r="A676" s="77" t="s">
        <v>4494</v>
      </c>
      <c r="B676" s="76" t="s">
        <v>10944</v>
      </c>
    </row>
    <row r="677" spans="1:2" ht="15">
      <c r="A677" s="77" t="s">
        <v>4495</v>
      </c>
      <c r="B677" s="76" t="s">
        <v>10944</v>
      </c>
    </row>
    <row r="678" spans="1:2" ht="15">
      <c r="A678" s="77" t="s">
        <v>4496</v>
      </c>
      <c r="B678" s="76" t="s">
        <v>10944</v>
      </c>
    </row>
    <row r="679" spans="1:2" ht="15">
      <c r="A679" s="77" t="s">
        <v>4497</v>
      </c>
      <c r="B679" s="76" t="s">
        <v>10944</v>
      </c>
    </row>
    <row r="680" spans="1:2" ht="15">
      <c r="A680" s="77" t="s">
        <v>4498</v>
      </c>
      <c r="B680" s="76" t="s">
        <v>10944</v>
      </c>
    </row>
    <row r="681" spans="1:2" ht="15">
      <c r="A681" s="77" t="s">
        <v>4499</v>
      </c>
      <c r="B681" s="76" t="s">
        <v>10944</v>
      </c>
    </row>
    <row r="682" spans="1:2" ht="15">
      <c r="A682" s="77" t="s">
        <v>4500</v>
      </c>
      <c r="B682" s="76" t="s">
        <v>10944</v>
      </c>
    </row>
    <row r="683" spans="1:2" ht="15">
      <c r="A683" s="77" t="s">
        <v>4501</v>
      </c>
      <c r="B683" s="76" t="s">
        <v>10944</v>
      </c>
    </row>
    <row r="684" spans="1:2" ht="15">
      <c r="A684" s="77" t="s">
        <v>4502</v>
      </c>
      <c r="B684" s="76" t="s">
        <v>10944</v>
      </c>
    </row>
    <row r="685" spans="1:2" ht="15">
      <c r="A685" s="77" t="s">
        <v>3500</v>
      </c>
      <c r="B685" s="76" t="s">
        <v>10944</v>
      </c>
    </row>
    <row r="686" spans="1:2" ht="15">
      <c r="A686" s="77" t="s">
        <v>4503</v>
      </c>
      <c r="B686" s="76" t="s">
        <v>10944</v>
      </c>
    </row>
    <row r="687" spans="1:2" ht="15">
      <c r="A687" s="77" t="s">
        <v>4504</v>
      </c>
      <c r="B687" s="76" t="s">
        <v>10944</v>
      </c>
    </row>
    <row r="688" spans="1:2" ht="15">
      <c r="A688" s="77" t="s">
        <v>4505</v>
      </c>
      <c r="B688" s="76" t="s">
        <v>10944</v>
      </c>
    </row>
    <row r="689" spans="1:2" ht="15">
      <c r="A689" s="77" t="s">
        <v>4506</v>
      </c>
      <c r="B689" s="76" t="s">
        <v>10944</v>
      </c>
    </row>
    <row r="690" spans="1:2" ht="15">
      <c r="A690" s="77" t="s">
        <v>4507</v>
      </c>
      <c r="B690" s="76" t="s">
        <v>10944</v>
      </c>
    </row>
    <row r="691" spans="1:2" ht="15">
      <c r="A691" s="77" t="s">
        <v>4508</v>
      </c>
      <c r="B691" s="76" t="s">
        <v>10944</v>
      </c>
    </row>
    <row r="692" spans="1:2" ht="15">
      <c r="A692" s="77" t="s">
        <v>4509</v>
      </c>
      <c r="B692" s="76" t="s">
        <v>10944</v>
      </c>
    </row>
    <row r="693" spans="1:2" ht="15">
      <c r="A693" s="77" t="s">
        <v>4510</v>
      </c>
      <c r="B693" s="76" t="s">
        <v>10944</v>
      </c>
    </row>
    <row r="694" spans="1:2" ht="15">
      <c r="A694" s="77" t="s">
        <v>4511</v>
      </c>
      <c r="B694" s="76" t="s">
        <v>10944</v>
      </c>
    </row>
    <row r="695" spans="1:2" ht="15">
      <c r="A695" s="77" t="s">
        <v>4512</v>
      </c>
      <c r="B695" s="76" t="s">
        <v>10944</v>
      </c>
    </row>
    <row r="696" spans="1:2" ht="15">
      <c r="A696" s="77" t="s">
        <v>4513</v>
      </c>
      <c r="B696" s="76" t="s">
        <v>10944</v>
      </c>
    </row>
    <row r="697" spans="1:2" ht="15">
      <c r="A697" s="77" t="s">
        <v>4514</v>
      </c>
      <c r="B697" s="76" t="s">
        <v>10944</v>
      </c>
    </row>
    <row r="698" spans="1:2" ht="15">
      <c r="A698" s="77" t="s">
        <v>4515</v>
      </c>
      <c r="B698" s="76" t="s">
        <v>10944</v>
      </c>
    </row>
    <row r="699" spans="1:2" ht="15">
      <c r="A699" s="77" t="s">
        <v>4516</v>
      </c>
      <c r="B699" s="76" t="s">
        <v>10944</v>
      </c>
    </row>
    <row r="700" spans="1:2" ht="15">
      <c r="A700" s="77" t="s">
        <v>4517</v>
      </c>
      <c r="B700" s="76" t="s">
        <v>10944</v>
      </c>
    </row>
    <row r="701" spans="1:2" ht="15">
      <c r="A701" s="77" t="s">
        <v>4518</v>
      </c>
      <c r="B701" s="76" t="s">
        <v>10944</v>
      </c>
    </row>
    <row r="702" spans="1:2" ht="15">
      <c r="A702" s="77" t="s">
        <v>4519</v>
      </c>
      <c r="B702" s="76" t="s">
        <v>10944</v>
      </c>
    </row>
    <row r="703" spans="1:2" ht="15">
      <c r="A703" s="77" t="s">
        <v>3096</v>
      </c>
      <c r="B703" s="76" t="s">
        <v>10944</v>
      </c>
    </row>
    <row r="704" spans="1:2" ht="15">
      <c r="A704" s="77" t="s">
        <v>4520</v>
      </c>
      <c r="B704" s="76" t="s">
        <v>10944</v>
      </c>
    </row>
    <row r="705" spans="1:2" ht="15">
      <c r="A705" s="77" t="s">
        <v>4521</v>
      </c>
      <c r="B705" s="76" t="s">
        <v>10944</v>
      </c>
    </row>
    <row r="706" spans="1:2" ht="15">
      <c r="A706" s="77" t="s">
        <v>4522</v>
      </c>
      <c r="B706" s="76" t="s">
        <v>10944</v>
      </c>
    </row>
    <row r="707" spans="1:2" ht="15">
      <c r="A707" s="77" t="s">
        <v>4523</v>
      </c>
      <c r="B707" s="76" t="s">
        <v>10944</v>
      </c>
    </row>
    <row r="708" spans="1:2" ht="15">
      <c r="A708" s="77" t="s">
        <v>4524</v>
      </c>
      <c r="B708" s="76" t="s">
        <v>10944</v>
      </c>
    </row>
    <row r="709" spans="1:2" ht="15">
      <c r="A709" s="77" t="s">
        <v>4525</v>
      </c>
      <c r="B709" s="76" t="s">
        <v>10944</v>
      </c>
    </row>
    <row r="710" spans="1:2" ht="15">
      <c r="A710" s="77" t="s">
        <v>4526</v>
      </c>
      <c r="B710" s="76" t="s">
        <v>10944</v>
      </c>
    </row>
    <row r="711" spans="1:2" ht="15">
      <c r="A711" s="77" t="s">
        <v>4527</v>
      </c>
      <c r="B711" s="76" t="s">
        <v>10944</v>
      </c>
    </row>
    <row r="712" spans="1:2" ht="15">
      <c r="A712" s="77" t="s">
        <v>4528</v>
      </c>
      <c r="B712" s="76" t="s">
        <v>10944</v>
      </c>
    </row>
    <row r="713" spans="1:2" ht="15">
      <c r="A713" s="77" t="s">
        <v>4529</v>
      </c>
      <c r="B713" s="76" t="s">
        <v>10944</v>
      </c>
    </row>
    <row r="714" spans="1:2" ht="15">
      <c r="A714" s="77" t="s">
        <v>4530</v>
      </c>
      <c r="B714" s="76" t="s">
        <v>10944</v>
      </c>
    </row>
    <row r="715" spans="1:2" ht="15">
      <c r="A715" s="77" t="s">
        <v>4531</v>
      </c>
      <c r="B715" s="76" t="s">
        <v>10944</v>
      </c>
    </row>
    <row r="716" spans="1:2" ht="15">
      <c r="A716" s="77" t="s">
        <v>4532</v>
      </c>
      <c r="B716" s="76" t="s">
        <v>10944</v>
      </c>
    </row>
    <row r="717" spans="1:2" ht="15">
      <c r="A717" s="77" t="s">
        <v>4533</v>
      </c>
      <c r="B717" s="76" t="s">
        <v>10944</v>
      </c>
    </row>
    <row r="718" spans="1:2" ht="15">
      <c r="A718" s="77" t="s">
        <v>4534</v>
      </c>
      <c r="B718" s="76" t="s">
        <v>10944</v>
      </c>
    </row>
    <row r="719" spans="1:2" ht="15">
      <c r="A719" s="77" t="s">
        <v>4535</v>
      </c>
      <c r="B719" s="76" t="s">
        <v>10944</v>
      </c>
    </row>
    <row r="720" spans="1:2" ht="15">
      <c r="A720" s="77" t="s">
        <v>4536</v>
      </c>
      <c r="B720" s="76" t="s">
        <v>10944</v>
      </c>
    </row>
    <row r="721" spans="1:2" ht="15">
      <c r="A721" s="77" t="s">
        <v>4537</v>
      </c>
      <c r="B721" s="76" t="s">
        <v>10944</v>
      </c>
    </row>
    <row r="722" spans="1:2" ht="15">
      <c r="A722" s="77" t="s">
        <v>4538</v>
      </c>
      <c r="B722" s="76" t="s">
        <v>10944</v>
      </c>
    </row>
    <row r="723" spans="1:2" ht="15">
      <c r="A723" s="77" t="s">
        <v>4539</v>
      </c>
      <c r="B723" s="76" t="s">
        <v>10944</v>
      </c>
    </row>
    <row r="724" spans="1:2" ht="15">
      <c r="A724" s="77" t="s">
        <v>4540</v>
      </c>
      <c r="B724" s="76" t="s">
        <v>10944</v>
      </c>
    </row>
    <row r="725" spans="1:2" ht="15">
      <c r="A725" s="77" t="s">
        <v>3475</v>
      </c>
      <c r="B725" s="76" t="s">
        <v>10944</v>
      </c>
    </row>
    <row r="726" spans="1:2" ht="15">
      <c r="A726" s="77" t="s">
        <v>4541</v>
      </c>
      <c r="B726" s="76" t="s">
        <v>10944</v>
      </c>
    </row>
    <row r="727" spans="1:2" ht="15">
      <c r="A727" s="77" t="s">
        <v>4542</v>
      </c>
      <c r="B727" s="76" t="s">
        <v>10944</v>
      </c>
    </row>
    <row r="728" spans="1:2" ht="15">
      <c r="A728" s="77" t="s">
        <v>4543</v>
      </c>
      <c r="B728" s="76" t="s">
        <v>10944</v>
      </c>
    </row>
    <row r="729" spans="1:2" ht="15">
      <c r="A729" s="77" t="s">
        <v>4544</v>
      </c>
      <c r="B729" s="76" t="s">
        <v>10944</v>
      </c>
    </row>
    <row r="730" spans="1:2" ht="15">
      <c r="A730" s="77" t="s">
        <v>4545</v>
      </c>
      <c r="B730" s="76" t="s">
        <v>10944</v>
      </c>
    </row>
    <row r="731" spans="1:2" ht="15">
      <c r="A731" s="77" t="s">
        <v>4546</v>
      </c>
      <c r="B731" s="76" t="s">
        <v>10944</v>
      </c>
    </row>
    <row r="732" spans="1:2" ht="15">
      <c r="A732" s="77" t="s">
        <v>4547</v>
      </c>
      <c r="B732" s="76" t="s">
        <v>10944</v>
      </c>
    </row>
    <row r="733" spans="1:2" ht="15">
      <c r="A733" s="77" t="s">
        <v>4548</v>
      </c>
      <c r="B733" s="76" t="s">
        <v>10944</v>
      </c>
    </row>
    <row r="734" spans="1:2" ht="15">
      <c r="A734" s="77" t="s">
        <v>4549</v>
      </c>
      <c r="B734" s="76" t="s">
        <v>10944</v>
      </c>
    </row>
    <row r="735" spans="1:2" ht="15">
      <c r="A735" s="77" t="s">
        <v>4550</v>
      </c>
      <c r="B735" s="76" t="s">
        <v>10944</v>
      </c>
    </row>
    <row r="736" spans="1:2" ht="15">
      <c r="A736" s="77" t="s">
        <v>4551</v>
      </c>
      <c r="B736" s="76" t="s">
        <v>10944</v>
      </c>
    </row>
    <row r="737" spans="1:2" ht="15">
      <c r="A737" s="77" t="s">
        <v>4552</v>
      </c>
      <c r="B737" s="76" t="s">
        <v>10944</v>
      </c>
    </row>
    <row r="738" spans="1:2" ht="15">
      <c r="A738" s="77" t="s">
        <v>4553</v>
      </c>
      <c r="B738" s="76" t="s">
        <v>10944</v>
      </c>
    </row>
    <row r="739" spans="1:2" ht="15">
      <c r="A739" s="77" t="s">
        <v>4554</v>
      </c>
      <c r="B739" s="76" t="s">
        <v>10944</v>
      </c>
    </row>
    <row r="740" spans="1:2" ht="15">
      <c r="A740" s="77" t="s">
        <v>4555</v>
      </c>
      <c r="B740" s="76" t="s">
        <v>10944</v>
      </c>
    </row>
    <row r="741" spans="1:2" ht="15">
      <c r="A741" s="77" t="s">
        <v>4556</v>
      </c>
      <c r="B741" s="76" t="s">
        <v>10944</v>
      </c>
    </row>
    <row r="742" spans="1:2" ht="15">
      <c r="A742" s="77" t="s">
        <v>4557</v>
      </c>
      <c r="B742" s="76" t="s">
        <v>10944</v>
      </c>
    </row>
    <row r="743" spans="1:2" ht="15">
      <c r="A743" s="77" t="s">
        <v>4558</v>
      </c>
      <c r="B743" s="76" t="s">
        <v>10944</v>
      </c>
    </row>
    <row r="744" spans="1:2" ht="15">
      <c r="A744" s="77" t="s">
        <v>4559</v>
      </c>
      <c r="B744" s="76" t="s">
        <v>10944</v>
      </c>
    </row>
    <row r="745" spans="1:2" ht="15">
      <c r="A745" s="77" t="s">
        <v>4560</v>
      </c>
      <c r="B745" s="76" t="s">
        <v>10944</v>
      </c>
    </row>
    <row r="746" spans="1:2" ht="15">
      <c r="A746" s="77" t="s">
        <v>4561</v>
      </c>
      <c r="B746" s="76" t="s">
        <v>10944</v>
      </c>
    </row>
    <row r="747" spans="1:2" ht="15">
      <c r="A747" s="77" t="s">
        <v>4562</v>
      </c>
      <c r="B747" s="76" t="s">
        <v>10944</v>
      </c>
    </row>
    <row r="748" spans="1:2" ht="15">
      <c r="A748" s="77" t="s">
        <v>4563</v>
      </c>
      <c r="B748" s="76" t="s">
        <v>10944</v>
      </c>
    </row>
    <row r="749" spans="1:2" ht="15">
      <c r="A749" s="77" t="s">
        <v>4564</v>
      </c>
      <c r="B749" s="76" t="s">
        <v>10944</v>
      </c>
    </row>
    <row r="750" spans="1:2" ht="15">
      <c r="A750" s="77" t="s">
        <v>4565</v>
      </c>
      <c r="B750" s="76" t="s">
        <v>10944</v>
      </c>
    </row>
    <row r="751" spans="1:2" ht="15">
      <c r="A751" s="77" t="s">
        <v>4566</v>
      </c>
      <c r="B751" s="76" t="s">
        <v>10944</v>
      </c>
    </row>
    <row r="752" spans="1:2" ht="15">
      <c r="A752" s="77" t="s">
        <v>4567</v>
      </c>
      <c r="B752" s="76" t="s">
        <v>10944</v>
      </c>
    </row>
    <row r="753" spans="1:2" ht="15">
      <c r="A753" s="77" t="s">
        <v>4568</v>
      </c>
      <c r="B753" s="76" t="s">
        <v>10944</v>
      </c>
    </row>
    <row r="754" spans="1:2" ht="15">
      <c r="A754" s="77" t="s">
        <v>4569</v>
      </c>
      <c r="B754" s="76" t="s">
        <v>10944</v>
      </c>
    </row>
    <row r="755" spans="1:2" ht="15">
      <c r="A755" s="77" t="s">
        <v>4570</v>
      </c>
      <c r="B755" s="76" t="s">
        <v>10944</v>
      </c>
    </row>
    <row r="756" spans="1:2" ht="15">
      <c r="A756" s="77" t="s">
        <v>4571</v>
      </c>
      <c r="B756" s="76" t="s">
        <v>10944</v>
      </c>
    </row>
    <row r="757" spans="1:2" ht="15">
      <c r="A757" s="77" t="s">
        <v>4572</v>
      </c>
      <c r="B757" s="76" t="s">
        <v>10944</v>
      </c>
    </row>
    <row r="758" spans="1:2" ht="15">
      <c r="A758" s="77" t="s">
        <v>4573</v>
      </c>
      <c r="B758" s="76" t="s">
        <v>10944</v>
      </c>
    </row>
    <row r="759" spans="1:2" ht="15">
      <c r="A759" s="77" t="s">
        <v>4574</v>
      </c>
      <c r="B759" s="76" t="s">
        <v>10944</v>
      </c>
    </row>
    <row r="760" spans="1:2" ht="15">
      <c r="A760" s="77" t="s">
        <v>4575</v>
      </c>
      <c r="B760" s="76" t="s">
        <v>10944</v>
      </c>
    </row>
    <row r="761" spans="1:2" ht="15">
      <c r="A761" s="77" t="s">
        <v>4576</v>
      </c>
      <c r="B761" s="76" t="s">
        <v>10944</v>
      </c>
    </row>
    <row r="762" spans="1:2" ht="15">
      <c r="A762" s="77" t="s">
        <v>4577</v>
      </c>
      <c r="B762" s="76" t="s">
        <v>10944</v>
      </c>
    </row>
    <row r="763" spans="1:2" ht="15">
      <c r="A763" s="77" t="s">
        <v>4578</v>
      </c>
      <c r="B763" s="76" t="s">
        <v>10944</v>
      </c>
    </row>
    <row r="764" spans="1:2" ht="15">
      <c r="A764" s="77" t="s">
        <v>4579</v>
      </c>
      <c r="B764" s="76" t="s">
        <v>10944</v>
      </c>
    </row>
    <row r="765" spans="1:2" ht="15">
      <c r="A765" s="77" t="s">
        <v>4580</v>
      </c>
      <c r="B765" s="76" t="s">
        <v>10944</v>
      </c>
    </row>
    <row r="766" spans="1:2" ht="15">
      <c r="A766" s="77" t="s">
        <v>4581</v>
      </c>
      <c r="B766" s="76" t="s">
        <v>10944</v>
      </c>
    </row>
    <row r="767" spans="1:2" ht="15">
      <c r="A767" s="77" t="s">
        <v>4582</v>
      </c>
      <c r="B767" s="76" t="s">
        <v>10944</v>
      </c>
    </row>
    <row r="768" spans="1:2" ht="15">
      <c r="A768" s="77" t="s">
        <v>4583</v>
      </c>
      <c r="B768" s="76" t="s">
        <v>10944</v>
      </c>
    </row>
    <row r="769" spans="1:2" ht="15">
      <c r="A769" s="77" t="s">
        <v>4584</v>
      </c>
      <c r="B769" s="76" t="s">
        <v>10944</v>
      </c>
    </row>
    <row r="770" spans="1:2" ht="15">
      <c r="A770" s="77" t="s">
        <v>4585</v>
      </c>
      <c r="B770" s="76" t="s">
        <v>10944</v>
      </c>
    </row>
    <row r="771" spans="1:2" ht="15">
      <c r="A771" s="77" t="s">
        <v>4586</v>
      </c>
      <c r="B771" s="76" t="s">
        <v>10944</v>
      </c>
    </row>
    <row r="772" spans="1:2" ht="15">
      <c r="A772" s="77" t="s">
        <v>4587</v>
      </c>
      <c r="B772" s="76" t="s">
        <v>10944</v>
      </c>
    </row>
    <row r="773" spans="1:2" ht="15">
      <c r="A773" s="77" t="s">
        <v>4588</v>
      </c>
      <c r="B773" s="76" t="s">
        <v>10944</v>
      </c>
    </row>
    <row r="774" spans="1:2" ht="15">
      <c r="A774" s="77" t="s">
        <v>4589</v>
      </c>
      <c r="B774" s="76" t="s">
        <v>10944</v>
      </c>
    </row>
    <row r="775" spans="1:2" ht="15">
      <c r="A775" s="77" t="s">
        <v>4590</v>
      </c>
      <c r="B775" s="76" t="s">
        <v>10944</v>
      </c>
    </row>
    <row r="776" spans="1:2" ht="15">
      <c r="A776" s="77" t="s">
        <v>4591</v>
      </c>
      <c r="B776" s="76" t="s">
        <v>10944</v>
      </c>
    </row>
    <row r="777" spans="1:2" ht="15">
      <c r="A777" s="77" t="s">
        <v>3255</v>
      </c>
      <c r="B777" s="76" t="s">
        <v>10944</v>
      </c>
    </row>
    <row r="778" spans="1:2" ht="15">
      <c r="A778" s="77" t="s">
        <v>4592</v>
      </c>
      <c r="B778" s="76" t="s">
        <v>10944</v>
      </c>
    </row>
    <row r="779" spans="1:2" ht="15">
      <c r="A779" s="77" t="s">
        <v>4593</v>
      </c>
      <c r="B779" s="76" t="s">
        <v>10944</v>
      </c>
    </row>
    <row r="780" spans="1:2" ht="15">
      <c r="A780" s="77" t="s">
        <v>4594</v>
      </c>
      <c r="B780" s="76" t="s">
        <v>10944</v>
      </c>
    </row>
    <row r="781" spans="1:2" ht="15">
      <c r="A781" s="77" t="s">
        <v>4595</v>
      </c>
      <c r="B781" s="76" t="s">
        <v>10944</v>
      </c>
    </row>
    <row r="782" spans="1:2" ht="15">
      <c r="A782" s="77" t="s">
        <v>4596</v>
      </c>
      <c r="B782" s="76" t="s">
        <v>10944</v>
      </c>
    </row>
    <row r="783" spans="1:2" ht="15">
      <c r="A783" s="77" t="s">
        <v>4597</v>
      </c>
      <c r="B783" s="76" t="s">
        <v>10944</v>
      </c>
    </row>
    <row r="784" spans="1:2" ht="15">
      <c r="A784" s="77" t="s">
        <v>4598</v>
      </c>
      <c r="B784" s="76" t="s">
        <v>10944</v>
      </c>
    </row>
    <row r="785" spans="1:2" ht="15">
      <c r="A785" s="77" t="s">
        <v>4599</v>
      </c>
      <c r="B785" s="76" t="s">
        <v>10944</v>
      </c>
    </row>
    <row r="786" spans="1:2" ht="15">
      <c r="A786" s="77" t="s">
        <v>4600</v>
      </c>
      <c r="B786" s="76" t="s">
        <v>10944</v>
      </c>
    </row>
    <row r="787" spans="1:2" ht="15">
      <c r="A787" s="77" t="s">
        <v>4601</v>
      </c>
      <c r="B787" s="76" t="s">
        <v>10944</v>
      </c>
    </row>
    <row r="788" spans="1:2" ht="15">
      <c r="A788" s="77" t="s">
        <v>4602</v>
      </c>
      <c r="B788" s="76" t="s">
        <v>10944</v>
      </c>
    </row>
    <row r="789" spans="1:2" ht="15">
      <c r="A789" s="77" t="s">
        <v>4603</v>
      </c>
      <c r="B789" s="76" t="s">
        <v>10944</v>
      </c>
    </row>
    <row r="790" spans="1:2" ht="15">
      <c r="A790" s="77" t="s">
        <v>4604</v>
      </c>
      <c r="B790" s="76" t="s">
        <v>10944</v>
      </c>
    </row>
    <row r="791" spans="1:2" ht="15">
      <c r="A791" s="77" t="s">
        <v>4605</v>
      </c>
      <c r="B791" s="76" t="s">
        <v>10944</v>
      </c>
    </row>
    <row r="792" spans="1:2" ht="15">
      <c r="A792" s="77" t="s">
        <v>4606</v>
      </c>
      <c r="B792" s="76" t="s">
        <v>10944</v>
      </c>
    </row>
    <row r="793" spans="1:2" ht="15">
      <c r="A793" s="77" t="s">
        <v>4607</v>
      </c>
      <c r="B793" s="76" t="s">
        <v>10944</v>
      </c>
    </row>
    <row r="794" spans="1:2" ht="15">
      <c r="A794" s="77" t="s">
        <v>4608</v>
      </c>
      <c r="B794" s="76" t="s">
        <v>10944</v>
      </c>
    </row>
    <row r="795" spans="1:2" ht="15">
      <c r="A795" s="77" t="s">
        <v>4609</v>
      </c>
      <c r="B795" s="76" t="s">
        <v>10944</v>
      </c>
    </row>
    <row r="796" spans="1:2" ht="15">
      <c r="A796" s="77" t="s">
        <v>4610</v>
      </c>
      <c r="B796" s="76" t="s">
        <v>10944</v>
      </c>
    </row>
    <row r="797" spans="1:2" ht="15">
      <c r="A797" s="77" t="s">
        <v>4611</v>
      </c>
      <c r="B797" s="76" t="s">
        <v>10944</v>
      </c>
    </row>
    <row r="798" spans="1:2" ht="15">
      <c r="A798" s="77" t="s">
        <v>4612</v>
      </c>
      <c r="B798" s="76" t="s">
        <v>10944</v>
      </c>
    </row>
    <row r="799" spans="1:2" ht="15">
      <c r="A799" s="77" t="s">
        <v>4613</v>
      </c>
      <c r="B799" s="76" t="s">
        <v>10944</v>
      </c>
    </row>
    <row r="800" spans="1:2" ht="15">
      <c r="A800" s="77" t="s">
        <v>4614</v>
      </c>
      <c r="B800" s="76" t="s">
        <v>10944</v>
      </c>
    </row>
    <row r="801" spans="1:2" ht="15">
      <c r="A801" s="77" t="s">
        <v>4615</v>
      </c>
      <c r="B801" s="76" t="s">
        <v>10944</v>
      </c>
    </row>
    <row r="802" spans="1:2" ht="15">
      <c r="A802" s="77" t="s">
        <v>4616</v>
      </c>
      <c r="B802" s="76" t="s">
        <v>10944</v>
      </c>
    </row>
    <row r="803" spans="1:2" ht="15">
      <c r="A803" s="77" t="s">
        <v>4617</v>
      </c>
      <c r="B803" s="76" t="s">
        <v>10944</v>
      </c>
    </row>
    <row r="804" spans="1:2" ht="15">
      <c r="A804" s="77" t="s">
        <v>4618</v>
      </c>
      <c r="B804" s="76" t="s">
        <v>10944</v>
      </c>
    </row>
    <row r="805" spans="1:2" ht="15">
      <c r="A805" s="77" t="s">
        <v>4619</v>
      </c>
      <c r="B805" s="76" t="s">
        <v>10944</v>
      </c>
    </row>
    <row r="806" spans="1:2" ht="15">
      <c r="A806" s="77" t="s">
        <v>4620</v>
      </c>
      <c r="B806" s="76" t="s">
        <v>10944</v>
      </c>
    </row>
    <row r="807" spans="1:2" ht="15">
      <c r="A807" s="77" t="s">
        <v>4621</v>
      </c>
      <c r="B807" s="76" t="s">
        <v>10944</v>
      </c>
    </row>
    <row r="808" spans="1:2" ht="15">
      <c r="A808" s="77" t="s">
        <v>4622</v>
      </c>
      <c r="B808" s="76" t="s">
        <v>10944</v>
      </c>
    </row>
    <row r="809" spans="1:2" ht="15">
      <c r="A809" s="77" t="s">
        <v>4623</v>
      </c>
      <c r="B809" s="76" t="s">
        <v>10944</v>
      </c>
    </row>
    <row r="810" spans="1:2" ht="15">
      <c r="A810" s="77" t="s">
        <v>4624</v>
      </c>
      <c r="B810" s="76" t="s">
        <v>10944</v>
      </c>
    </row>
    <row r="811" spans="1:2" ht="15">
      <c r="A811" s="77" t="s">
        <v>4625</v>
      </c>
      <c r="B811" s="76" t="s">
        <v>10944</v>
      </c>
    </row>
    <row r="812" spans="1:2" ht="15">
      <c r="A812" s="77" t="s">
        <v>4626</v>
      </c>
      <c r="B812" s="76" t="s">
        <v>10944</v>
      </c>
    </row>
    <row r="813" spans="1:2" ht="15">
      <c r="A813" s="77" t="s">
        <v>4627</v>
      </c>
      <c r="B813" s="76" t="s">
        <v>10944</v>
      </c>
    </row>
    <row r="814" spans="1:2" ht="15">
      <c r="A814" s="77" t="s">
        <v>4628</v>
      </c>
      <c r="B814" s="76" t="s">
        <v>10944</v>
      </c>
    </row>
    <row r="815" spans="1:2" ht="15">
      <c r="A815" s="77" t="s">
        <v>4629</v>
      </c>
      <c r="B815" s="76" t="s">
        <v>10944</v>
      </c>
    </row>
    <row r="816" spans="1:2" ht="15">
      <c r="A816" s="77" t="s">
        <v>4630</v>
      </c>
      <c r="B816" s="76" t="s">
        <v>10944</v>
      </c>
    </row>
    <row r="817" spans="1:2" ht="15">
      <c r="A817" s="77" t="s">
        <v>4631</v>
      </c>
      <c r="B817" s="76" t="s">
        <v>10944</v>
      </c>
    </row>
    <row r="818" spans="1:2" ht="15">
      <c r="A818" s="77" t="s">
        <v>4632</v>
      </c>
      <c r="B818" s="76" t="s">
        <v>10944</v>
      </c>
    </row>
    <row r="819" spans="1:2" ht="15">
      <c r="A819" s="77" t="s">
        <v>4633</v>
      </c>
      <c r="B819" s="76" t="s">
        <v>10944</v>
      </c>
    </row>
    <row r="820" spans="1:2" ht="15">
      <c r="A820" s="77" t="s">
        <v>4634</v>
      </c>
      <c r="B820" s="76" t="s">
        <v>10944</v>
      </c>
    </row>
    <row r="821" spans="1:2" ht="15">
      <c r="A821" s="77" t="s">
        <v>4635</v>
      </c>
      <c r="B821" s="76" t="s">
        <v>10944</v>
      </c>
    </row>
    <row r="822" spans="1:2" ht="15">
      <c r="A822" s="77" t="s">
        <v>4636</v>
      </c>
      <c r="B822" s="76" t="s">
        <v>10944</v>
      </c>
    </row>
    <row r="823" spans="1:2" ht="15">
      <c r="A823" s="77" t="s">
        <v>2522</v>
      </c>
      <c r="B823" s="76" t="s">
        <v>10944</v>
      </c>
    </row>
    <row r="824" spans="1:2" ht="15">
      <c r="A824" s="77" t="s">
        <v>4637</v>
      </c>
      <c r="B824" s="76" t="s">
        <v>10944</v>
      </c>
    </row>
    <row r="825" spans="1:2" ht="15">
      <c r="A825" s="77" t="s">
        <v>4638</v>
      </c>
      <c r="B825" s="76" t="s">
        <v>10944</v>
      </c>
    </row>
    <row r="826" spans="1:2" ht="15">
      <c r="A826" s="77" t="s">
        <v>4639</v>
      </c>
      <c r="B826" s="76" t="s">
        <v>10944</v>
      </c>
    </row>
    <row r="827" spans="1:2" ht="15">
      <c r="A827" s="77" t="s">
        <v>2725</v>
      </c>
      <c r="B827" s="76" t="s">
        <v>10944</v>
      </c>
    </row>
    <row r="828" spans="1:2" ht="15">
      <c r="A828" s="77" t="s">
        <v>4640</v>
      </c>
      <c r="B828" s="76" t="s">
        <v>10944</v>
      </c>
    </row>
    <row r="829" spans="1:2" ht="15">
      <c r="A829" s="77" t="s">
        <v>4641</v>
      </c>
      <c r="B829" s="76" t="s">
        <v>10944</v>
      </c>
    </row>
    <row r="830" spans="1:2" ht="15">
      <c r="A830" s="77" t="s">
        <v>4642</v>
      </c>
      <c r="B830" s="76" t="s">
        <v>10944</v>
      </c>
    </row>
    <row r="831" spans="1:2" ht="15">
      <c r="A831" s="77" t="s">
        <v>4643</v>
      </c>
      <c r="B831" s="76" t="s">
        <v>10944</v>
      </c>
    </row>
    <row r="832" spans="1:2" ht="15">
      <c r="A832" s="77" t="s">
        <v>4644</v>
      </c>
      <c r="B832" s="76" t="s">
        <v>10944</v>
      </c>
    </row>
    <row r="833" spans="1:2" ht="15">
      <c r="A833" s="77" t="s">
        <v>4645</v>
      </c>
      <c r="B833" s="76" t="s">
        <v>10944</v>
      </c>
    </row>
    <row r="834" spans="1:2" ht="15">
      <c r="A834" s="77" t="s">
        <v>4646</v>
      </c>
      <c r="B834" s="76" t="s">
        <v>10944</v>
      </c>
    </row>
    <row r="835" spans="1:2" ht="15">
      <c r="A835" s="77" t="s">
        <v>4647</v>
      </c>
      <c r="B835" s="76" t="s">
        <v>10944</v>
      </c>
    </row>
    <row r="836" spans="1:2" ht="15">
      <c r="A836" s="77" t="s">
        <v>4648</v>
      </c>
      <c r="B836" s="76" t="s">
        <v>10944</v>
      </c>
    </row>
    <row r="837" spans="1:2" ht="15">
      <c r="A837" s="77" t="s">
        <v>4649</v>
      </c>
      <c r="B837" s="76" t="s">
        <v>10944</v>
      </c>
    </row>
    <row r="838" spans="1:2" ht="15">
      <c r="A838" s="77" t="s">
        <v>4650</v>
      </c>
      <c r="B838" s="76" t="s">
        <v>10944</v>
      </c>
    </row>
    <row r="839" spans="1:2" ht="15">
      <c r="A839" s="77" t="s">
        <v>4651</v>
      </c>
      <c r="B839" s="76" t="s">
        <v>10944</v>
      </c>
    </row>
    <row r="840" spans="1:2" ht="15">
      <c r="A840" s="77" t="s">
        <v>4652</v>
      </c>
      <c r="B840" s="76" t="s">
        <v>10944</v>
      </c>
    </row>
    <row r="841" spans="1:2" ht="15">
      <c r="A841" s="77" t="s">
        <v>4653</v>
      </c>
      <c r="B841" s="76" t="s">
        <v>10944</v>
      </c>
    </row>
    <row r="842" spans="1:2" ht="15">
      <c r="A842" s="77" t="s">
        <v>4654</v>
      </c>
      <c r="B842" s="76" t="s">
        <v>10944</v>
      </c>
    </row>
    <row r="843" spans="1:2" ht="15">
      <c r="A843" s="77" t="s">
        <v>4655</v>
      </c>
      <c r="B843" s="76" t="s">
        <v>10944</v>
      </c>
    </row>
    <row r="844" spans="1:2" ht="15">
      <c r="A844" s="77" t="s">
        <v>4656</v>
      </c>
      <c r="B844" s="76" t="s">
        <v>10944</v>
      </c>
    </row>
    <row r="845" spans="1:2" ht="15">
      <c r="A845" s="77" t="s">
        <v>4657</v>
      </c>
      <c r="B845" s="76" t="s">
        <v>10944</v>
      </c>
    </row>
    <row r="846" spans="1:2" ht="15">
      <c r="A846" s="77" t="s">
        <v>4658</v>
      </c>
      <c r="B846" s="76" t="s">
        <v>10944</v>
      </c>
    </row>
    <row r="847" spans="1:2" ht="15">
      <c r="A847" s="77" t="s">
        <v>4659</v>
      </c>
      <c r="B847" s="76" t="s">
        <v>10944</v>
      </c>
    </row>
    <row r="848" spans="1:2" ht="15">
      <c r="A848" s="77" t="s">
        <v>4660</v>
      </c>
      <c r="B848" s="76" t="s">
        <v>10944</v>
      </c>
    </row>
    <row r="849" spans="1:2" ht="15">
      <c r="A849" s="77" t="s">
        <v>4661</v>
      </c>
      <c r="B849" s="76" t="s">
        <v>10944</v>
      </c>
    </row>
    <row r="850" spans="1:2" ht="15">
      <c r="A850" s="77" t="s">
        <v>4662</v>
      </c>
      <c r="B850" s="76" t="s">
        <v>10944</v>
      </c>
    </row>
    <row r="851" spans="1:2" ht="15">
      <c r="A851" s="77" t="s">
        <v>4663</v>
      </c>
      <c r="B851" s="76" t="s">
        <v>10944</v>
      </c>
    </row>
    <row r="852" spans="1:2" ht="15">
      <c r="A852" s="77" t="s">
        <v>4664</v>
      </c>
      <c r="B852" s="76" t="s">
        <v>10944</v>
      </c>
    </row>
    <row r="853" spans="1:2" ht="15">
      <c r="A853" s="77" t="s">
        <v>4665</v>
      </c>
      <c r="B853" s="76" t="s">
        <v>10944</v>
      </c>
    </row>
    <row r="854" spans="1:2" ht="15">
      <c r="A854" s="77" t="s">
        <v>4666</v>
      </c>
      <c r="B854" s="76" t="s">
        <v>10944</v>
      </c>
    </row>
    <row r="855" spans="1:2" ht="15">
      <c r="A855" s="77" t="s">
        <v>4667</v>
      </c>
      <c r="B855" s="76" t="s">
        <v>10944</v>
      </c>
    </row>
    <row r="856" spans="1:2" ht="15">
      <c r="A856" s="77" t="s">
        <v>4668</v>
      </c>
      <c r="B856" s="76" t="s">
        <v>10944</v>
      </c>
    </row>
    <row r="857" spans="1:2" ht="15">
      <c r="A857" s="77" t="s">
        <v>4669</v>
      </c>
      <c r="B857" s="76" t="s">
        <v>10944</v>
      </c>
    </row>
    <row r="858" spans="1:2" ht="15">
      <c r="A858" s="77" t="s">
        <v>4670</v>
      </c>
      <c r="B858" s="76" t="s">
        <v>10944</v>
      </c>
    </row>
    <row r="859" spans="1:2" ht="15">
      <c r="A859" s="77" t="s">
        <v>4671</v>
      </c>
      <c r="B859" s="76" t="s">
        <v>10944</v>
      </c>
    </row>
    <row r="860" spans="1:2" ht="15">
      <c r="A860" s="77" t="s">
        <v>4672</v>
      </c>
      <c r="B860" s="76" t="s">
        <v>10944</v>
      </c>
    </row>
    <row r="861" spans="1:2" ht="15">
      <c r="A861" s="77" t="s">
        <v>4673</v>
      </c>
      <c r="B861" s="76" t="s">
        <v>10944</v>
      </c>
    </row>
    <row r="862" spans="1:2" ht="15">
      <c r="A862" s="77" t="s">
        <v>4674</v>
      </c>
      <c r="B862" s="76" t="s">
        <v>10944</v>
      </c>
    </row>
    <row r="863" spans="1:2" ht="15">
      <c r="A863" s="77" t="s">
        <v>4675</v>
      </c>
      <c r="B863" s="76" t="s">
        <v>10944</v>
      </c>
    </row>
    <row r="864" spans="1:2" ht="15">
      <c r="A864" s="77" t="s">
        <v>4676</v>
      </c>
      <c r="B864" s="76" t="s">
        <v>10944</v>
      </c>
    </row>
    <row r="865" spans="1:2" ht="15">
      <c r="A865" s="77" t="s">
        <v>4677</v>
      </c>
      <c r="B865" s="76" t="s">
        <v>10944</v>
      </c>
    </row>
    <row r="866" spans="1:2" ht="15">
      <c r="A866" s="77" t="s">
        <v>4678</v>
      </c>
      <c r="B866" s="76" t="s">
        <v>10944</v>
      </c>
    </row>
    <row r="867" spans="1:2" ht="15">
      <c r="A867" s="77" t="s">
        <v>4679</v>
      </c>
      <c r="B867" s="76" t="s">
        <v>10944</v>
      </c>
    </row>
    <row r="868" spans="1:2" ht="15">
      <c r="A868" s="77" t="s">
        <v>4680</v>
      </c>
      <c r="B868" s="76" t="s">
        <v>10944</v>
      </c>
    </row>
    <row r="869" spans="1:2" ht="15">
      <c r="A869" s="77" t="s">
        <v>4681</v>
      </c>
      <c r="B869" s="76" t="s">
        <v>10944</v>
      </c>
    </row>
    <row r="870" spans="1:2" ht="15">
      <c r="A870" s="77" t="s">
        <v>4682</v>
      </c>
      <c r="B870" s="76" t="s">
        <v>10944</v>
      </c>
    </row>
    <row r="871" spans="1:2" ht="15">
      <c r="A871" s="77" t="s">
        <v>4683</v>
      </c>
      <c r="B871" s="76" t="s">
        <v>10944</v>
      </c>
    </row>
    <row r="872" spans="1:2" ht="15">
      <c r="A872" s="77" t="s">
        <v>4684</v>
      </c>
      <c r="B872" s="76" t="s">
        <v>10944</v>
      </c>
    </row>
    <row r="873" spans="1:2" ht="15">
      <c r="A873" s="77" t="s">
        <v>4685</v>
      </c>
      <c r="B873" s="76" t="s">
        <v>10944</v>
      </c>
    </row>
    <row r="874" spans="1:2" ht="15">
      <c r="A874" s="77" t="s">
        <v>4686</v>
      </c>
      <c r="B874" s="76" t="s">
        <v>10944</v>
      </c>
    </row>
    <row r="875" spans="1:2" ht="15">
      <c r="A875" s="77" t="s">
        <v>4687</v>
      </c>
      <c r="B875" s="76" t="s">
        <v>10944</v>
      </c>
    </row>
    <row r="876" spans="1:2" ht="15">
      <c r="A876" s="77" t="s">
        <v>4688</v>
      </c>
      <c r="B876" s="76" t="s">
        <v>10944</v>
      </c>
    </row>
    <row r="877" spans="1:2" ht="15">
      <c r="A877" s="77" t="s">
        <v>4689</v>
      </c>
      <c r="B877" s="76" t="s">
        <v>10944</v>
      </c>
    </row>
    <row r="878" spans="1:2" ht="15">
      <c r="A878" s="77" t="s">
        <v>4690</v>
      </c>
      <c r="B878" s="76" t="s">
        <v>10944</v>
      </c>
    </row>
    <row r="879" spans="1:2" ht="15">
      <c r="A879" s="77" t="s">
        <v>4691</v>
      </c>
      <c r="B879" s="76" t="s">
        <v>10944</v>
      </c>
    </row>
    <row r="880" spans="1:2" ht="15">
      <c r="A880" s="77" t="s">
        <v>4692</v>
      </c>
      <c r="B880" s="76" t="s">
        <v>10944</v>
      </c>
    </row>
    <row r="881" spans="1:2" ht="15">
      <c r="A881" s="77" t="s">
        <v>4693</v>
      </c>
      <c r="B881" s="76" t="s">
        <v>10944</v>
      </c>
    </row>
    <row r="882" spans="1:2" ht="15">
      <c r="A882" s="77" t="s">
        <v>4694</v>
      </c>
      <c r="B882" s="76" t="s">
        <v>10944</v>
      </c>
    </row>
    <row r="883" spans="1:2" ht="15">
      <c r="A883" s="77" t="s">
        <v>4695</v>
      </c>
      <c r="B883" s="76" t="s">
        <v>10944</v>
      </c>
    </row>
    <row r="884" spans="1:2" ht="15">
      <c r="A884" s="77" t="s">
        <v>4696</v>
      </c>
      <c r="B884" s="76" t="s">
        <v>10944</v>
      </c>
    </row>
    <row r="885" spans="1:2" ht="15">
      <c r="A885" s="77" t="s">
        <v>4697</v>
      </c>
      <c r="B885" s="76" t="s">
        <v>10944</v>
      </c>
    </row>
    <row r="886" spans="1:2" ht="15">
      <c r="A886" s="77" t="s">
        <v>4698</v>
      </c>
      <c r="B886" s="76" t="s">
        <v>10944</v>
      </c>
    </row>
    <row r="887" spans="1:2" ht="15">
      <c r="A887" s="77" t="s">
        <v>4699</v>
      </c>
      <c r="B887" s="76" t="s">
        <v>10944</v>
      </c>
    </row>
    <row r="888" spans="1:2" ht="15">
      <c r="A888" s="77" t="s">
        <v>4700</v>
      </c>
      <c r="B888" s="76" t="s">
        <v>10944</v>
      </c>
    </row>
    <row r="889" spans="1:2" ht="15">
      <c r="A889" s="77" t="s">
        <v>3705</v>
      </c>
      <c r="B889" s="76" t="s">
        <v>10944</v>
      </c>
    </row>
    <row r="890" spans="1:2" ht="15">
      <c r="A890" s="77" t="s">
        <v>4701</v>
      </c>
      <c r="B890" s="76" t="s">
        <v>10944</v>
      </c>
    </row>
    <row r="891" spans="1:2" ht="15">
      <c r="A891" s="77" t="s">
        <v>4702</v>
      </c>
      <c r="B891" s="76" t="s">
        <v>10944</v>
      </c>
    </row>
    <row r="892" spans="1:2" ht="15">
      <c r="A892" s="77" t="s">
        <v>4703</v>
      </c>
      <c r="B892" s="76" t="s">
        <v>10944</v>
      </c>
    </row>
    <row r="893" spans="1:2" ht="15">
      <c r="A893" s="77" t="s">
        <v>4704</v>
      </c>
      <c r="B893" s="76" t="s">
        <v>10944</v>
      </c>
    </row>
    <row r="894" spans="1:2" ht="15">
      <c r="A894" s="77" t="s">
        <v>4705</v>
      </c>
      <c r="B894" s="76" t="s">
        <v>10944</v>
      </c>
    </row>
    <row r="895" spans="1:2" ht="15">
      <c r="A895" s="77" t="s">
        <v>4706</v>
      </c>
      <c r="B895" s="76" t="s">
        <v>10944</v>
      </c>
    </row>
    <row r="896" spans="1:2" ht="15">
      <c r="A896" s="77" t="s">
        <v>4707</v>
      </c>
      <c r="B896" s="76" t="s">
        <v>10944</v>
      </c>
    </row>
    <row r="897" spans="1:2" ht="15">
      <c r="A897" s="77" t="s">
        <v>4708</v>
      </c>
      <c r="B897" s="76" t="s">
        <v>10944</v>
      </c>
    </row>
    <row r="898" spans="1:2" ht="15">
      <c r="A898" s="77" t="s">
        <v>4709</v>
      </c>
      <c r="B898" s="76" t="s">
        <v>10944</v>
      </c>
    </row>
    <row r="899" spans="1:2" ht="15">
      <c r="A899" s="77" t="s">
        <v>4710</v>
      </c>
      <c r="B899" s="76" t="s">
        <v>10944</v>
      </c>
    </row>
    <row r="900" spans="1:2" ht="15">
      <c r="A900" s="77" t="s">
        <v>4711</v>
      </c>
      <c r="B900" s="76" t="s">
        <v>10944</v>
      </c>
    </row>
    <row r="901" spans="1:2" ht="15">
      <c r="A901" s="77" t="s">
        <v>4712</v>
      </c>
      <c r="B901" s="76" t="s">
        <v>10944</v>
      </c>
    </row>
    <row r="902" spans="1:2" ht="15">
      <c r="A902" s="77" t="s">
        <v>4713</v>
      </c>
      <c r="B902" s="76" t="s">
        <v>10944</v>
      </c>
    </row>
    <row r="903" spans="1:2" ht="15">
      <c r="A903" s="77" t="s">
        <v>4714</v>
      </c>
      <c r="B903" s="76" t="s">
        <v>10944</v>
      </c>
    </row>
    <row r="904" spans="1:2" ht="15">
      <c r="A904" s="77" t="s">
        <v>4715</v>
      </c>
      <c r="B904" s="76" t="s">
        <v>10944</v>
      </c>
    </row>
    <row r="905" spans="1:2" ht="15">
      <c r="A905" s="77" t="s">
        <v>4716</v>
      </c>
      <c r="B905" s="76" t="s">
        <v>10944</v>
      </c>
    </row>
    <row r="906" spans="1:2" ht="15">
      <c r="A906" s="77" t="s">
        <v>4717</v>
      </c>
      <c r="B906" s="76" t="s">
        <v>10944</v>
      </c>
    </row>
    <row r="907" spans="1:2" ht="15">
      <c r="A907" s="77" t="s">
        <v>4718</v>
      </c>
      <c r="B907" s="76" t="s">
        <v>10944</v>
      </c>
    </row>
    <row r="908" spans="1:2" ht="15">
      <c r="A908" s="77" t="s">
        <v>4719</v>
      </c>
      <c r="B908" s="76" t="s">
        <v>10944</v>
      </c>
    </row>
    <row r="909" spans="1:2" ht="15">
      <c r="A909" s="77" t="s">
        <v>4720</v>
      </c>
      <c r="B909" s="76" t="s">
        <v>10944</v>
      </c>
    </row>
    <row r="910" spans="1:2" ht="15">
      <c r="A910" s="77" t="s">
        <v>4721</v>
      </c>
      <c r="B910" s="76" t="s">
        <v>10944</v>
      </c>
    </row>
    <row r="911" spans="1:2" ht="15">
      <c r="A911" s="77" t="s">
        <v>4722</v>
      </c>
      <c r="B911" s="76" t="s">
        <v>10944</v>
      </c>
    </row>
    <row r="912" spans="1:2" ht="15">
      <c r="A912" s="77" t="s">
        <v>4723</v>
      </c>
      <c r="B912" s="76" t="s">
        <v>10944</v>
      </c>
    </row>
    <row r="913" spans="1:2" ht="15">
      <c r="A913" s="77" t="s">
        <v>4724</v>
      </c>
      <c r="B913" s="76" t="s">
        <v>10944</v>
      </c>
    </row>
    <row r="914" spans="1:2" ht="15">
      <c r="A914" s="77" t="s">
        <v>4725</v>
      </c>
      <c r="B914" s="76" t="s">
        <v>10944</v>
      </c>
    </row>
    <row r="915" spans="1:2" ht="15">
      <c r="A915" s="77" t="s">
        <v>4726</v>
      </c>
      <c r="B915" s="76" t="s">
        <v>10944</v>
      </c>
    </row>
    <row r="916" spans="1:2" ht="15">
      <c r="A916" s="77" t="s">
        <v>4727</v>
      </c>
      <c r="B916" s="76" t="s">
        <v>10944</v>
      </c>
    </row>
    <row r="917" spans="1:2" ht="15">
      <c r="A917" s="77" t="s">
        <v>4728</v>
      </c>
      <c r="B917" s="76" t="s">
        <v>10944</v>
      </c>
    </row>
    <row r="918" spans="1:2" ht="15">
      <c r="A918" s="77" t="s">
        <v>4729</v>
      </c>
      <c r="B918" s="76" t="s">
        <v>10944</v>
      </c>
    </row>
    <row r="919" spans="1:2" ht="15">
      <c r="A919" s="77" t="s">
        <v>4730</v>
      </c>
      <c r="B919" s="76" t="s">
        <v>10944</v>
      </c>
    </row>
    <row r="920" spans="1:2" ht="15">
      <c r="A920" s="77" t="s">
        <v>4731</v>
      </c>
      <c r="B920" s="76" t="s">
        <v>10944</v>
      </c>
    </row>
    <row r="921" spans="1:2" ht="15">
      <c r="A921" s="77" t="s">
        <v>4732</v>
      </c>
      <c r="B921" s="76" t="s">
        <v>10944</v>
      </c>
    </row>
    <row r="922" spans="1:2" ht="15">
      <c r="A922" s="77" t="s">
        <v>4733</v>
      </c>
      <c r="B922" s="76" t="s">
        <v>10944</v>
      </c>
    </row>
    <row r="923" spans="1:2" ht="15">
      <c r="A923" s="77" t="s">
        <v>4734</v>
      </c>
      <c r="B923" s="76" t="s">
        <v>10944</v>
      </c>
    </row>
    <row r="924" spans="1:2" ht="15">
      <c r="A924" s="77" t="s">
        <v>4735</v>
      </c>
      <c r="B924" s="76" t="s">
        <v>10944</v>
      </c>
    </row>
    <row r="925" spans="1:2" ht="15">
      <c r="A925" s="77" t="s">
        <v>4736</v>
      </c>
      <c r="B925" s="76" t="s">
        <v>10944</v>
      </c>
    </row>
    <row r="926" spans="1:2" ht="15">
      <c r="A926" s="77" t="s">
        <v>4737</v>
      </c>
      <c r="B926" s="76" t="s">
        <v>10944</v>
      </c>
    </row>
    <row r="927" spans="1:2" ht="15">
      <c r="A927" s="77" t="s">
        <v>4738</v>
      </c>
      <c r="B927" s="76" t="s">
        <v>10944</v>
      </c>
    </row>
    <row r="928" spans="1:2" ht="15">
      <c r="A928" s="77" t="s">
        <v>4739</v>
      </c>
      <c r="B928" s="76" t="s">
        <v>10944</v>
      </c>
    </row>
    <row r="929" spans="1:2" ht="15">
      <c r="A929" s="77" t="s">
        <v>4740</v>
      </c>
      <c r="B929" s="76" t="s">
        <v>10944</v>
      </c>
    </row>
    <row r="930" spans="1:2" ht="15">
      <c r="A930" s="77" t="s">
        <v>4741</v>
      </c>
      <c r="B930" s="76" t="s">
        <v>10944</v>
      </c>
    </row>
    <row r="931" spans="1:2" ht="15">
      <c r="A931" s="77" t="s">
        <v>4742</v>
      </c>
      <c r="B931" s="76" t="s">
        <v>10944</v>
      </c>
    </row>
    <row r="932" spans="1:2" ht="15">
      <c r="A932" s="77" t="s">
        <v>4743</v>
      </c>
      <c r="B932" s="76" t="s">
        <v>10944</v>
      </c>
    </row>
    <row r="933" spans="1:2" ht="15">
      <c r="A933" s="77" t="s">
        <v>4744</v>
      </c>
      <c r="B933" s="76" t="s">
        <v>10944</v>
      </c>
    </row>
    <row r="934" spans="1:2" ht="15">
      <c r="A934" s="77" t="s">
        <v>4745</v>
      </c>
      <c r="B934" s="76" t="s">
        <v>10944</v>
      </c>
    </row>
    <row r="935" spans="1:2" ht="15">
      <c r="A935" s="77" t="s">
        <v>4746</v>
      </c>
      <c r="B935" s="76" t="s">
        <v>10944</v>
      </c>
    </row>
    <row r="936" spans="1:2" ht="15">
      <c r="A936" s="77" t="s">
        <v>4747</v>
      </c>
      <c r="B936" s="76" t="s">
        <v>10944</v>
      </c>
    </row>
    <row r="937" spans="1:2" ht="15">
      <c r="A937" s="77" t="s">
        <v>4748</v>
      </c>
      <c r="B937" s="76" t="s">
        <v>10944</v>
      </c>
    </row>
    <row r="938" spans="1:2" ht="15">
      <c r="A938" s="77" t="s">
        <v>4749</v>
      </c>
      <c r="B938" s="76" t="s">
        <v>10944</v>
      </c>
    </row>
    <row r="939" spans="1:2" ht="15">
      <c r="A939" s="77" t="s">
        <v>4750</v>
      </c>
      <c r="B939" s="76" t="s">
        <v>10944</v>
      </c>
    </row>
    <row r="940" spans="1:2" ht="15">
      <c r="A940" s="77" t="s">
        <v>4751</v>
      </c>
      <c r="B940" s="76" t="s">
        <v>10944</v>
      </c>
    </row>
    <row r="941" spans="1:2" ht="15">
      <c r="A941" s="77" t="s">
        <v>4752</v>
      </c>
      <c r="B941" s="76" t="s">
        <v>10944</v>
      </c>
    </row>
    <row r="942" spans="1:2" ht="15">
      <c r="A942" s="77" t="s">
        <v>4753</v>
      </c>
      <c r="B942" s="76" t="s">
        <v>10944</v>
      </c>
    </row>
    <row r="943" spans="1:2" ht="15">
      <c r="A943" s="77" t="s">
        <v>4754</v>
      </c>
      <c r="B943" s="76" t="s">
        <v>10944</v>
      </c>
    </row>
    <row r="944" spans="1:2" ht="15">
      <c r="A944" s="77" t="s">
        <v>4755</v>
      </c>
      <c r="B944" s="76" t="s">
        <v>10944</v>
      </c>
    </row>
    <row r="945" spans="1:2" ht="15">
      <c r="A945" s="77" t="s">
        <v>4756</v>
      </c>
      <c r="B945" s="76" t="s">
        <v>10944</v>
      </c>
    </row>
    <row r="946" spans="1:2" ht="15">
      <c r="A946" s="77" t="s">
        <v>4757</v>
      </c>
      <c r="B946" s="76" t="s">
        <v>10944</v>
      </c>
    </row>
    <row r="947" spans="1:2" ht="15">
      <c r="A947" s="77" t="s">
        <v>4758</v>
      </c>
      <c r="B947" s="76" t="s">
        <v>10944</v>
      </c>
    </row>
    <row r="948" spans="1:2" ht="15">
      <c r="A948" s="77" t="s">
        <v>4759</v>
      </c>
      <c r="B948" s="76" t="s">
        <v>10944</v>
      </c>
    </row>
    <row r="949" spans="1:2" ht="15">
      <c r="A949" s="77" t="s">
        <v>4760</v>
      </c>
      <c r="B949" s="76" t="s">
        <v>10944</v>
      </c>
    </row>
    <row r="950" spans="1:2" ht="15">
      <c r="A950" s="77" t="s">
        <v>4761</v>
      </c>
      <c r="B950" s="76" t="s">
        <v>10944</v>
      </c>
    </row>
    <row r="951" spans="1:2" ht="15">
      <c r="A951" s="77" t="s">
        <v>4762</v>
      </c>
      <c r="B951" s="76" t="s">
        <v>10944</v>
      </c>
    </row>
    <row r="952" spans="1:2" ht="15">
      <c r="A952" s="77" t="s">
        <v>4763</v>
      </c>
      <c r="B952" s="76" t="s">
        <v>10944</v>
      </c>
    </row>
    <row r="953" spans="1:2" ht="15">
      <c r="A953" s="77" t="s">
        <v>4764</v>
      </c>
      <c r="B953" s="76" t="s">
        <v>10944</v>
      </c>
    </row>
    <row r="954" spans="1:2" ht="15">
      <c r="A954" s="77" t="s">
        <v>4765</v>
      </c>
      <c r="B954" s="76" t="s">
        <v>10944</v>
      </c>
    </row>
    <row r="955" spans="1:2" ht="15">
      <c r="A955" s="77" t="s">
        <v>4766</v>
      </c>
      <c r="B955" s="76" t="s">
        <v>10944</v>
      </c>
    </row>
    <row r="956" spans="1:2" ht="15">
      <c r="A956" s="77" t="s">
        <v>4767</v>
      </c>
      <c r="B956" s="76" t="s">
        <v>10944</v>
      </c>
    </row>
    <row r="957" spans="1:2" ht="15">
      <c r="A957" s="77" t="s">
        <v>4768</v>
      </c>
      <c r="B957" s="76" t="s">
        <v>10944</v>
      </c>
    </row>
    <row r="958" spans="1:2" ht="15">
      <c r="A958" s="77" t="s">
        <v>4769</v>
      </c>
      <c r="B958" s="76" t="s">
        <v>10944</v>
      </c>
    </row>
    <row r="959" spans="1:2" ht="15">
      <c r="A959" s="77" t="s">
        <v>4770</v>
      </c>
      <c r="B959" s="76" t="s">
        <v>10944</v>
      </c>
    </row>
    <row r="960" spans="1:2" ht="15">
      <c r="A960" s="77" t="s">
        <v>4771</v>
      </c>
      <c r="B960" s="76" t="s">
        <v>10944</v>
      </c>
    </row>
    <row r="961" spans="1:2" ht="15">
      <c r="A961" s="77" t="s">
        <v>4772</v>
      </c>
      <c r="B961" s="76" t="s">
        <v>10944</v>
      </c>
    </row>
    <row r="962" spans="1:2" ht="15">
      <c r="A962" s="77" t="s">
        <v>4773</v>
      </c>
      <c r="B962" s="76" t="s">
        <v>10944</v>
      </c>
    </row>
    <row r="963" spans="1:2" ht="15">
      <c r="A963" s="77" t="s">
        <v>4774</v>
      </c>
      <c r="B963" s="76" t="s">
        <v>10944</v>
      </c>
    </row>
    <row r="964" spans="1:2" ht="15">
      <c r="A964" s="77" t="s">
        <v>4775</v>
      </c>
      <c r="B964" s="76" t="s">
        <v>10944</v>
      </c>
    </row>
    <row r="965" spans="1:2" ht="15">
      <c r="A965" s="77" t="s">
        <v>4776</v>
      </c>
      <c r="B965" s="76" t="s">
        <v>10944</v>
      </c>
    </row>
    <row r="966" spans="1:2" ht="15">
      <c r="A966" s="77" t="s">
        <v>4777</v>
      </c>
      <c r="B966" s="76" t="s">
        <v>10944</v>
      </c>
    </row>
    <row r="967" spans="1:2" ht="15">
      <c r="A967" s="77" t="s">
        <v>4778</v>
      </c>
      <c r="B967" s="76" t="s">
        <v>10944</v>
      </c>
    </row>
    <row r="968" spans="1:2" ht="15">
      <c r="A968" s="77" t="s">
        <v>4779</v>
      </c>
      <c r="B968" s="76" t="s">
        <v>10944</v>
      </c>
    </row>
    <row r="969" spans="1:2" ht="15">
      <c r="A969" s="77" t="s">
        <v>4780</v>
      </c>
      <c r="B969" s="76" t="s">
        <v>10944</v>
      </c>
    </row>
    <row r="970" spans="1:2" ht="15">
      <c r="A970" s="77" t="s">
        <v>4781</v>
      </c>
      <c r="B970" s="76" t="s">
        <v>10944</v>
      </c>
    </row>
    <row r="971" spans="1:2" ht="15">
      <c r="A971" s="77" t="s">
        <v>4782</v>
      </c>
      <c r="B971" s="76" t="s">
        <v>10944</v>
      </c>
    </row>
    <row r="972" spans="1:2" ht="15">
      <c r="A972" s="77" t="s">
        <v>4783</v>
      </c>
      <c r="B972" s="76" t="s">
        <v>10944</v>
      </c>
    </row>
    <row r="973" spans="1:2" ht="15">
      <c r="A973" s="77" t="s">
        <v>4784</v>
      </c>
      <c r="B973" s="76" t="s">
        <v>10944</v>
      </c>
    </row>
    <row r="974" spans="1:2" ht="15">
      <c r="A974" s="77" t="s">
        <v>4785</v>
      </c>
      <c r="B974" s="76" t="s">
        <v>10944</v>
      </c>
    </row>
    <row r="975" spans="1:2" ht="15">
      <c r="A975" s="77" t="s">
        <v>4786</v>
      </c>
      <c r="B975" s="76" t="s">
        <v>10944</v>
      </c>
    </row>
    <row r="976" spans="1:2" ht="15">
      <c r="A976" s="77" t="s">
        <v>4787</v>
      </c>
      <c r="B976" s="76" t="s">
        <v>10944</v>
      </c>
    </row>
    <row r="977" spans="1:2" ht="15">
      <c r="A977" s="77" t="s">
        <v>4788</v>
      </c>
      <c r="B977" s="76" t="s">
        <v>10944</v>
      </c>
    </row>
    <row r="978" spans="1:2" ht="15">
      <c r="A978" s="77" t="s">
        <v>4789</v>
      </c>
      <c r="B978" s="76" t="s">
        <v>10944</v>
      </c>
    </row>
    <row r="979" spans="1:2" ht="15">
      <c r="A979" s="77" t="s">
        <v>4790</v>
      </c>
      <c r="B979" s="76" t="s">
        <v>10944</v>
      </c>
    </row>
    <row r="980" spans="1:2" ht="15">
      <c r="A980" s="77" t="s">
        <v>4791</v>
      </c>
      <c r="B980" s="76" t="s">
        <v>10944</v>
      </c>
    </row>
    <row r="981" spans="1:2" ht="15">
      <c r="A981" s="77" t="s">
        <v>4792</v>
      </c>
      <c r="B981" s="76" t="s">
        <v>10944</v>
      </c>
    </row>
    <row r="982" spans="1:2" ht="15">
      <c r="A982" s="77" t="s">
        <v>4793</v>
      </c>
      <c r="B982" s="76" t="s">
        <v>10944</v>
      </c>
    </row>
    <row r="983" spans="1:2" ht="15">
      <c r="A983" s="77" t="s">
        <v>4794</v>
      </c>
      <c r="B983" s="76" t="s">
        <v>10944</v>
      </c>
    </row>
    <row r="984" spans="1:2" ht="15">
      <c r="A984" s="77" t="s">
        <v>4795</v>
      </c>
      <c r="B984" s="76" t="s">
        <v>10944</v>
      </c>
    </row>
    <row r="985" spans="1:2" ht="15">
      <c r="A985" s="77" t="s">
        <v>4796</v>
      </c>
      <c r="B985" s="76" t="s">
        <v>10944</v>
      </c>
    </row>
    <row r="986" spans="1:2" ht="15">
      <c r="A986" s="77" t="s">
        <v>4797</v>
      </c>
      <c r="B986" s="76" t="s">
        <v>10944</v>
      </c>
    </row>
    <row r="987" spans="1:2" ht="15">
      <c r="A987" s="77" t="s">
        <v>4798</v>
      </c>
      <c r="B987" s="76" t="s">
        <v>10944</v>
      </c>
    </row>
    <row r="988" spans="1:2" ht="15">
      <c r="A988" s="77" t="s">
        <v>4799</v>
      </c>
      <c r="B988" s="76" t="s">
        <v>10944</v>
      </c>
    </row>
    <row r="989" spans="1:2" ht="15">
      <c r="A989" s="77" t="s">
        <v>4800</v>
      </c>
      <c r="B989" s="76" t="s">
        <v>10944</v>
      </c>
    </row>
    <row r="990" spans="1:2" ht="15">
      <c r="A990" s="77" t="s">
        <v>4801</v>
      </c>
      <c r="B990" s="76" t="s">
        <v>10944</v>
      </c>
    </row>
    <row r="991" spans="1:2" ht="15">
      <c r="A991" s="77" t="s">
        <v>4802</v>
      </c>
      <c r="B991" s="76" t="s">
        <v>10944</v>
      </c>
    </row>
    <row r="992" spans="1:2" ht="15">
      <c r="A992" s="77" t="s">
        <v>2951</v>
      </c>
      <c r="B992" s="76" t="s">
        <v>10944</v>
      </c>
    </row>
    <row r="993" spans="1:2" ht="15">
      <c r="A993" s="77" t="s">
        <v>4803</v>
      </c>
      <c r="B993" s="76" t="s">
        <v>10944</v>
      </c>
    </row>
    <row r="994" spans="1:2" ht="15">
      <c r="A994" s="77" t="s">
        <v>4804</v>
      </c>
      <c r="B994" s="76" t="s">
        <v>10944</v>
      </c>
    </row>
    <row r="995" spans="1:2" ht="15">
      <c r="A995" s="77" t="s">
        <v>4805</v>
      </c>
      <c r="B995" s="76" t="s">
        <v>10944</v>
      </c>
    </row>
    <row r="996" spans="1:2" ht="15">
      <c r="A996" s="77" t="s">
        <v>4806</v>
      </c>
      <c r="B996" s="76" t="s">
        <v>10944</v>
      </c>
    </row>
    <row r="997" spans="1:2" ht="15">
      <c r="A997" s="77" t="s">
        <v>4807</v>
      </c>
      <c r="B997" s="76" t="s">
        <v>10944</v>
      </c>
    </row>
    <row r="998" spans="1:2" ht="15">
      <c r="A998" s="77" t="s">
        <v>4808</v>
      </c>
      <c r="B998" s="76" t="s">
        <v>10944</v>
      </c>
    </row>
    <row r="999" spans="1:2" ht="15">
      <c r="A999" s="77" t="s">
        <v>4809</v>
      </c>
      <c r="B999" s="76" t="s">
        <v>10944</v>
      </c>
    </row>
    <row r="1000" spans="1:2" ht="15">
      <c r="A1000" s="77" t="s">
        <v>4810</v>
      </c>
      <c r="B1000" s="76" t="s">
        <v>10944</v>
      </c>
    </row>
    <row r="1001" spans="1:2" ht="15">
      <c r="A1001" s="77" t="s">
        <v>4811</v>
      </c>
      <c r="B1001" s="76" t="s">
        <v>10944</v>
      </c>
    </row>
    <row r="1002" spans="1:2" ht="15">
      <c r="A1002" s="77" t="s">
        <v>4812</v>
      </c>
      <c r="B1002" s="76" t="s">
        <v>10944</v>
      </c>
    </row>
    <row r="1003" spans="1:2" ht="15">
      <c r="A1003" s="77" t="s">
        <v>4813</v>
      </c>
      <c r="B1003" s="76" t="s">
        <v>10944</v>
      </c>
    </row>
    <row r="1004" spans="1:2" ht="15">
      <c r="A1004" s="77" t="s">
        <v>4814</v>
      </c>
      <c r="B1004" s="76" t="s">
        <v>10944</v>
      </c>
    </row>
    <row r="1005" spans="1:2" ht="15">
      <c r="A1005" s="77" t="s">
        <v>3125</v>
      </c>
      <c r="B1005" s="76" t="s">
        <v>10944</v>
      </c>
    </row>
    <row r="1006" spans="1:2" ht="15">
      <c r="A1006" s="77" t="s">
        <v>4815</v>
      </c>
      <c r="B1006" s="76" t="s">
        <v>10944</v>
      </c>
    </row>
    <row r="1007" spans="1:2" ht="15">
      <c r="A1007" s="77" t="s">
        <v>4816</v>
      </c>
      <c r="B1007" s="76" t="s">
        <v>10944</v>
      </c>
    </row>
    <row r="1008" spans="1:2" ht="15">
      <c r="A1008" s="77" t="s">
        <v>4817</v>
      </c>
      <c r="B1008" s="76" t="s">
        <v>10944</v>
      </c>
    </row>
    <row r="1009" spans="1:2" ht="15">
      <c r="A1009" s="77" t="s">
        <v>4818</v>
      </c>
      <c r="B1009" s="76" t="s">
        <v>10944</v>
      </c>
    </row>
    <row r="1010" spans="1:2" ht="15">
      <c r="A1010" s="77" t="s">
        <v>4819</v>
      </c>
      <c r="B1010" s="76" t="s">
        <v>10944</v>
      </c>
    </row>
    <row r="1011" spans="1:2" ht="15">
      <c r="A1011" s="77" t="s">
        <v>4820</v>
      </c>
      <c r="B1011" s="76" t="s">
        <v>10944</v>
      </c>
    </row>
    <row r="1012" spans="1:2" ht="15">
      <c r="A1012" s="77" t="s">
        <v>4821</v>
      </c>
      <c r="B1012" s="76" t="s">
        <v>10944</v>
      </c>
    </row>
    <row r="1013" spans="1:2" ht="15">
      <c r="A1013" s="77" t="s">
        <v>4822</v>
      </c>
      <c r="B1013" s="76" t="s">
        <v>10944</v>
      </c>
    </row>
    <row r="1014" spans="1:2" ht="15">
      <c r="A1014" s="77" t="s">
        <v>4823</v>
      </c>
      <c r="B1014" s="76" t="s">
        <v>10944</v>
      </c>
    </row>
    <row r="1015" spans="1:2" ht="15">
      <c r="A1015" s="77" t="s">
        <v>4824</v>
      </c>
      <c r="B1015" s="76" t="s">
        <v>10944</v>
      </c>
    </row>
    <row r="1016" spans="1:2" ht="15">
      <c r="A1016" s="77" t="s">
        <v>4825</v>
      </c>
      <c r="B1016" s="76" t="s">
        <v>10944</v>
      </c>
    </row>
    <row r="1017" spans="1:2" ht="15">
      <c r="A1017" s="77" t="s">
        <v>4826</v>
      </c>
      <c r="B1017" s="76" t="s">
        <v>10944</v>
      </c>
    </row>
    <row r="1018" spans="1:2" ht="15">
      <c r="A1018" s="77" t="s">
        <v>4827</v>
      </c>
      <c r="B1018" s="76" t="s">
        <v>10944</v>
      </c>
    </row>
    <row r="1019" spans="1:2" ht="15">
      <c r="A1019" s="77" t="s">
        <v>3262</v>
      </c>
      <c r="B1019" s="76" t="s">
        <v>10944</v>
      </c>
    </row>
    <row r="1020" spans="1:2" ht="15">
      <c r="A1020" s="77" t="s">
        <v>4828</v>
      </c>
      <c r="B1020" s="76" t="s">
        <v>10944</v>
      </c>
    </row>
    <row r="1021" spans="1:2" ht="15">
      <c r="A1021" s="77" t="s">
        <v>4829</v>
      </c>
      <c r="B1021" s="76" t="s">
        <v>10944</v>
      </c>
    </row>
    <row r="1022" spans="1:2" ht="15">
      <c r="A1022" s="77" t="s">
        <v>4830</v>
      </c>
      <c r="B1022" s="76" t="s">
        <v>10944</v>
      </c>
    </row>
    <row r="1023" spans="1:2" ht="15">
      <c r="A1023" s="77" t="s">
        <v>4831</v>
      </c>
      <c r="B1023" s="76" t="s">
        <v>10944</v>
      </c>
    </row>
    <row r="1024" spans="1:2" ht="15">
      <c r="A1024" s="77" t="s">
        <v>4832</v>
      </c>
      <c r="B1024" s="76" t="s">
        <v>10944</v>
      </c>
    </row>
    <row r="1025" spans="1:2" ht="15">
      <c r="A1025" s="77" t="s">
        <v>4833</v>
      </c>
      <c r="B1025" s="76" t="s">
        <v>10944</v>
      </c>
    </row>
    <row r="1026" spans="1:2" ht="15">
      <c r="A1026" s="77" t="s">
        <v>4834</v>
      </c>
      <c r="B1026" s="76" t="s">
        <v>10944</v>
      </c>
    </row>
    <row r="1027" spans="1:2" ht="15">
      <c r="A1027" s="77" t="s">
        <v>4835</v>
      </c>
      <c r="B1027" s="76" t="s">
        <v>10944</v>
      </c>
    </row>
    <row r="1028" spans="1:2" ht="15">
      <c r="A1028" s="77" t="s">
        <v>4836</v>
      </c>
      <c r="B1028" s="76" t="s">
        <v>10944</v>
      </c>
    </row>
    <row r="1029" spans="1:2" ht="15">
      <c r="A1029" s="77" t="s">
        <v>4837</v>
      </c>
      <c r="B1029" s="76" t="s">
        <v>10944</v>
      </c>
    </row>
    <row r="1030" spans="1:2" ht="15">
      <c r="A1030" s="77" t="s">
        <v>4838</v>
      </c>
      <c r="B1030" s="76" t="s">
        <v>10944</v>
      </c>
    </row>
    <row r="1031" spans="1:2" ht="15">
      <c r="A1031" s="77" t="s">
        <v>4839</v>
      </c>
      <c r="B1031" s="76" t="s">
        <v>10944</v>
      </c>
    </row>
    <row r="1032" spans="1:2" ht="15">
      <c r="A1032" s="77" t="s">
        <v>4840</v>
      </c>
      <c r="B1032" s="76" t="s">
        <v>10944</v>
      </c>
    </row>
    <row r="1033" spans="1:2" ht="15">
      <c r="A1033" s="77" t="s">
        <v>4841</v>
      </c>
      <c r="B1033" s="76" t="s">
        <v>10944</v>
      </c>
    </row>
    <row r="1034" spans="1:2" ht="15">
      <c r="A1034" s="77" t="s">
        <v>4842</v>
      </c>
      <c r="B1034" s="76" t="s">
        <v>10944</v>
      </c>
    </row>
    <row r="1035" spans="1:2" ht="15">
      <c r="A1035" s="77" t="s">
        <v>4843</v>
      </c>
      <c r="B1035" s="76" t="s">
        <v>10944</v>
      </c>
    </row>
    <row r="1036" spans="1:2" ht="15">
      <c r="A1036" s="77" t="s">
        <v>4844</v>
      </c>
      <c r="B1036" s="76" t="s">
        <v>10944</v>
      </c>
    </row>
    <row r="1037" spans="1:2" ht="15">
      <c r="A1037" s="77" t="s">
        <v>4845</v>
      </c>
      <c r="B1037" s="76" t="s">
        <v>10944</v>
      </c>
    </row>
    <row r="1038" spans="1:2" ht="15">
      <c r="A1038" s="77" t="s">
        <v>4846</v>
      </c>
      <c r="B1038" s="76" t="s">
        <v>10944</v>
      </c>
    </row>
    <row r="1039" spans="1:2" ht="15">
      <c r="A1039" s="77" t="s">
        <v>4847</v>
      </c>
      <c r="B1039" s="76" t="s">
        <v>10944</v>
      </c>
    </row>
    <row r="1040" spans="1:2" ht="15">
      <c r="A1040" s="77" t="s">
        <v>4848</v>
      </c>
      <c r="B1040" s="76" t="s">
        <v>10944</v>
      </c>
    </row>
    <row r="1041" spans="1:2" ht="15">
      <c r="A1041" s="77" t="s">
        <v>4849</v>
      </c>
      <c r="B1041" s="76" t="s">
        <v>10944</v>
      </c>
    </row>
    <row r="1042" spans="1:2" ht="15">
      <c r="A1042" s="77" t="s">
        <v>4850</v>
      </c>
      <c r="B1042" s="76" t="s">
        <v>10944</v>
      </c>
    </row>
    <row r="1043" spans="1:2" ht="15">
      <c r="A1043" s="77" t="s">
        <v>4851</v>
      </c>
      <c r="B1043" s="76" t="s">
        <v>10944</v>
      </c>
    </row>
    <row r="1044" spans="1:2" ht="15">
      <c r="A1044" s="77" t="s">
        <v>4852</v>
      </c>
      <c r="B1044" s="76" t="s">
        <v>10944</v>
      </c>
    </row>
    <row r="1045" spans="1:2" ht="15">
      <c r="A1045" s="77" t="s">
        <v>4853</v>
      </c>
      <c r="B1045" s="76" t="s">
        <v>10944</v>
      </c>
    </row>
    <row r="1046" spans="1:2" ht="15">
      <c r="A1046" s="77" t="s">
        <v>4854</v>
      </c>
      <c r="B1046" s="76" t="s">
        <v>10944</v>
      </c>
    </row>
    <row r="1047" spans="1:2" ht="15">
      <c r="A1047" s="77" t="s">
        <v>4855</v>
      </c>
      <c r="B1047" s="76" t="s">
        <v>10944</v>
      </c>
    </row>
    <row r="1048" spans="1:2" ht="15">
      <c r="A1048" s="77" t="s">
        <v>4856</v>
      </c>
      <c r="B1048" s="76" t="s">
        <v>10944</v>
      </c>
    </row>
    <row r="1049" spans="1:2" ht="15">
      <c r="A1049" s="77" t="s">
        <v>4857</v>
      </c>
      <c r="B1049" s="76" t="s">
        <v>10944</v>
      </c>
    </row>
    <row r="1050" spans="1:2" ht="15">
      <c r="A1050" s="77" t="s">
        <v>4858</v>
      </c>
      <c r="B1050" s="76" t="s">
        <v>10944</v>
      </c>
    </row>
    <row r="1051" spans="1:2" ht="15">
      <c r="A1051" s="77" t="s">
        <v>4859</v>
      </c>
      <c r="B1051" s="76" t="s">
        <v>10944</v>
      </c>
    </row>
    <row r="1052" spans="1:2" ht="15">
      <c r="A1052" s="77" t="s">
        <v>4860</v>
      </c>
      <c r="B1052" s="76" t="s">
        <v>10944</v>
      </c>
    </row>
    <row r="1053" spans="1:2" ht="15">
      <c r="A1053" s="77" t="s">
        <v>4861</v>
      </c>
      <c r="B1053" s="76" t="s">
        <v>10944</v>
      </c>
    </row>
    <row r="1054" spans="1:2" ht="15">
      <c r="A1054" s="77" t="s">
        <v>4862</v>
      </c>
      <c r="B1054" s="76" t="s">
        <v>10944</v>
      </c>
    </row>
    <row r="1055" spans="1:2" ht="15">
      <c r="A1055" s="77" t="s">
        <v>4863</v>
      </c>
      <c r="B1055" s="76" t="s">
        <v>10944</v>
      </c>
    </row>
    <row r="1056" spans="1:2" ht="15">
      <c r="A1056" s="77" t="s">
        <v>4864</v>
      </c>
      <c r="B1056" s="76" t="s">
        <v>10944</v>
      </c>
    </row>
    <row r="1057" spans="1:2" ht="15">
      <c r="A1057" s="77" t="s">
        <v>4865</v>
      </c>
      <c r="B1057" s="76" t="s">
        <v>10944</v>
      </c>
    </row>
    <row r="1058" spans="1:2" ht="15">
      <c r="A1058" s="77" t="s">
        <v>4866</v>
      </c>
      <c r="B1058" s="76" t="s">
        <v>10944</v>
      </c>
    </row>
    <row r="1059" spans="1:2" ht="15">
      <c r="A1059" s="77" t="s">
        <v>4867</v>
      </c>
      <c r="B1059" s="76" t="s">
        <v>10944</v>
      </c>
    </row>
    <row r="1060" spans="1:2" ht="15">
      <c r="A1060" s="77" t="s">
        <v>4868</v>
      </c>
      <c r="B1060" s="76" t="s">
        <v>10944</v>
      </c>
    </row>
    <row r="1061" spans="1:2" ht="15">
      <c r="A1061" s="77" t="s">
        <v>4869</v>
      </c>
      <c r="B1061" s="76" t="s">
        <v>10944</v>
      </c>
    </row>
    <row r="1062" spans="1:2" ht="15">
      <c r="A1062" s="77" t="s">
        <v>4870</v>
      </c>
      <c r="B1062" s="76" t="s">
        <v>10944</v>
      </c>
    </row>
    <row r="1063" spans="1:2" ht="15">
      <c r="A1063" s="77" t="s">
        <v>4871</v>
      </c>
      <c r="B1063" s="76" t="s">
        <v>10944</v>
      </c>
    </row>
    <row r="1064" spans="1:2" ht="15">
      <c r="A1064" s="77" t="s">
        <v>4872</v>
      </c>
      <c r="B1064" s="76" t="s">
        <v>10944</v>
      </c>
    </row>
    <row r="1065" spans="1:2" ht="15">
      <c r="A1065" s="77" t="s">
        <v>4873</v>
      </c>
      <c r="B1065" s="76" t="s">
        <v>10944</v>
      </c>
    </row>
    <row r="1066" spans="1:2" ht="15">
      <c r="A1066" s="77" t="s">
        <v>4874</v>
      </c>
      <c r="B1066" s="76" t="s">
        <v>10944</v>
      </c>
    </row>
    <row r="1067" spans="1:2" ht="15">
      <c r="A1067" s="77" t="s">
        <v>4875</v>
      </c>
      <c r="B1067" s="76" t="s">
        <v>10944</v>
      </c>
    </row>
    <row r="1068" spans="1:2" ht="15">
      <c r="A1068" s="77" t="s">
        <v>4876</v>
      </c>
      <c r="B1068" s="76" t="s">
        <v>10944</v>
      </c>
    </row>
    <row r="1069" spans="1:2" ht="15">
      <c r="A1069" s="77" t="s">
        <v>4877</v>
      </c>
      <c r="B1069" s="76" t="s">
        <v>10944</v>
      </c>
    </row>
    <row r="1070" spans="1:2" ht="15">
      <c r="A1070" s="77" t="s">
        <v>4878</v>
      </c>
      <c r="B1070" s="76" t="s">
        <v>10944</v>
      </c>
    </row>
    <row r="1071" spans="1:2" ht="15">
      <c r="A1071" s="77" t="s">
        <v>4879</v>
      </c>
      <c r="B1071" s="76" t="s">
        <v>10944</v>
      </c>
    </row>
    <row r="1072" spans="1:2" ht="15">
      <c r="A1072" s="77" t="s">
        <v>4880</v>
      </c>
      <c r="B1072" s="76" t="s">
        <v>10944</v>
      </c>
    </row>
    <row r="1073" spans="1:2" ht="15">
      <c r="A1073" s="77" t="s">
        <v>4881</v>
      </c>
      <c r="B1073" s="76" t="s">
        <v>10944</v>
      </c>
    </row>
    <row r="1074" spans="1:2" ht="15">
      <c r="A1074" s="77" t="s">
        <v>4882</v>
      </c>
      <c r="B1074" s="76" t="s">
        <v>10944</v>
      </c>
    </row>
    <row r="1075" spans="1:2" ht="15">
      <c r="A1075" s="77" t="s">
        <v>4883</v>
      </c>
      <c r="B1075" s="76" t="s">
        <v>10944</v>
      </c>
    </row>
    <row r="1076" spans="1:2" ht="15">
      <c r="A1076" s="77" t="s">
        <v>4884</v>
      </c>
      <c r="B1076" s="76" t="s">
        <v>10944</v>
      </c>
    </row>
    <row r="1077" spans="1:2" ht="15">
      <c r="A1077" s="77" t="s">
        <v>4885</v>
      </c>
      <c r="B1077" s="76" t="s">
        <v>10944</v>
      </c>
    </row>
    <row r="1078" spans="1:2" ht="15">
      <c r="A1078" s="77" t="s">
        <v>3257</v>
      </c>
      <c r="B1078" s="76" t="s">
        <v>10944</v>
      </c>
    </row>
    <row r="1079" spans="1:2" ht="15">
      <c r="A1079" s="77" t="s">
        <v>4886</v>
      </c>
      <c r="B1079" s="76" t="s">
        <v>10944</v>
      </c>
    </row>
    <row r="1080" spans="1:2" ht="15">
      <c r="A1080" s="77" t="s">
        <v>4887</v>
      </c>
      <c r="B1080" s="76" t="s">
        <v>10944</v>
      </c>
    </row>
    <row r="1081" spans="1:2" ht="15">
      <c r="A1081" s="77" t="s">
        <v>4888</v>
      </c>
      <c r="B1081" s="76" t="s">
        <v>10944</v>
      </c>
    </row>
    <row r="1082" spans="1:2" ht="15">
      <c r="A1082" s="77" t="s">
        <v>4889</v>
      </c>
      <c r="B1082" s="76" t="s">
        <v>10944</v>
      </c>
    </row>
    <row r="1083" spans="1:2" ht="15">
      <c r="A1083" s="77" t="s">
        <v>4890</v>
      </c>
      <c r="B1083" s="76" t="s">
        <v>10944</v>
      </c>
    </row>
    <row r="1084" spans="1:2" ht="15">
      <c r="A1084" s="77" t="s">
        <v>4891</v>
      </c>
      <c r="B1084" s="76" t="s">
        <v>10944</v>
      </c>
    </row>
    <row r="1085" spans="1:2" ht="15">
      <c r="A1085" s="77" t="s">
        <v>4892</v>
      </c>
      <c r="B1085" s="76" t="s">
        <v>10944</v>
      </c>
    </row>
    <row r="1086" spans="1:2" ht="15">
      <c r="A1086" s="77" t="s">
        <v>4893</v>
      </c>
      <c r="B1086" s="76" t="s">
        <v>10944</v>
      </c>
    </row>
    <row r="1087" spans="1:2" ht="15">
      <c r="A1087" s="77" t="s">
        <v>4894</v>
      </c>
      <c r="B1087" s="76" t="s">
        <v>10944</v>
      </c>
    </row>
    <row r="1088" spans="1:2" ht="15">
      <c r="A1088" s="77" t="s">
        <v>4895</v>
      </c>
      <c r="B1088" s="76" t="s">
        <v>10944</v>
      </c>
    </row>
    <row r="1089" spans="1:2" ht="15">
      <c r="A1089" s="77" t="s">
        <v>3004</v>
      </c>
      <c r="B1089" s="76" t="s">
        <v>10944</v>
      </c>
    </row>
    <row r="1090" spans="1:2" ht="15">
      <c r="A1090" s="77" t="s">
        <v>4896</v>
      </c>
      <c r="B1090" s="76" t="s">
        <v>10944</v>
      </c>
    </row>
    <row r="1091" spans="1:2" ht="15">
      <c r="A1091" s="77" t="s">
        <v>4897</v>
      </c>
      <c r="B1091" s="76" t="s">
        <v>10944</v>
      </c>
    </row>
    <row r="1092" spans="1:2" ht="15">
      <c r="A1092" s="77" t="s">
        <v>4898</v>
      </c>
      <c r="B1092" s="76" t="s">
        <v>10944</v>
      </c>
    </row>
    <row r="1093" spans="1:2" ht="15">
      <c r="A1093" s="77" t="s">
        <v>4899</v>
      </c>
      <c r="B1093" s="76" t="s">
        <v>10944</v>
      </c>
    </row>
    <row r="1094" spans="1:2" ht="15">
      <c r="A1094" s="77" t="s">
        <v>4900</v>
      </c>
      <c r="B1094" s="76" t="s">
        <v>10944</v>
      </c>
    </row>
    <row r="1095" spans="1:2" ht="15">
      <c r="A1095" s="77" t="s">
        <v>4901</v>
      </c>
      <c r="B1095" s="76" t="s">
        <v>10944</v>
      </c>
    </row>
    <row r="1096" spans="1:2" ht="15">
      <c r="A1096" s="77" t="s">
        <v>4902</v>
      </c>
      <c r="B1096" s="76" t="s">
        <v>10944</v>
      </c>
    </row>
    <row r="1097" spans="1:2" ht="15">
      <c r="A1097" s="77" t="s">
        <v>4903</v>
      </c>
      <c r="B1097" s="76" t="s">
        <v>10944</v>
      </c>
    </row>
    <row r="1098" spans="1:2" ht="15">
      <c r="A1098" s="77" t="s">
        <v>4904</v>
      </c>
      <c r="B1098" s="76" t="s">
        <v>10944</v>
      </c>
    </row>
    <row r="1099" spans="1:2" ht="15">
      <c r="A1099" s="77" t="s">
        <v>4905</v>
      </c>
      <c r="B1099" s="76" t="s">
        <v>10944</v>
      </c>
    </row>
    <row r="1100" spans="1:2" ht="15">
      <c r="A1100" s="77" t="s">
        <v>4906</v>
      </c>
      <c r="B1100" s="76" t="s">
        <v>10944</v>
      </c>
    </row>
    <row r="1101" spans="1:2" ht="15">
      <c r="A1101" s="77" t="s">
        <v>4907</v>
      </c>
      <c r="B1101" s="76" t="s">
        <v>10944</v>
      </c>
    </row>
    <row r="1102" spans="1:2" ht="15">
      <c r="A1102" s="77" t="s">
        <v>4908</v>
      </c>
      <c r="B1102" s="76" t="s">
        <v>10944</v>
      </c>
    </row>
    <row r="1103" spans="1:2" ht="15">
      <c r="A1103" s="77" t="s">
        <v>4909</v>
      </c>
      <c r="B1103" s="76" t="s">
        <v>10944</v>
      </c>
    </row>
    <row r="1104" spans="1:2" ht="15">
      <c r="A1104" s="77" t="s">
        <v>4910</v>
      </c>
      <c r="B1104" s="76" t="s">
        <v>10944</v>
      </c>
    </row>
    <row r="1105" spans="1:2" ht="15">
      <c r="A1105" s="77" t="s">
        <v>4911</v>
      </c>
      <c r="B1105" s="76" t="s">
        <v>10944</v>
      </c>
    </row>
    <row r="1106" spans="1:2" ht="15">
      <c r="A1106" s="77" t="s">
        <v>4912</v>
      </c>
      <c r="B1106" s="76" t="s">
        <v>10944</v>
      </c>
    </row>
    <row r="1107" spans="1:2" ht="15">
      <c r="A1107" s="77" t="s">
        <v>4913</v>
      </c>
      <c r="B1107" s="76" t="s">
        <v>10944</v>
      </c>
    </row>
    <row r="1108" spans="1:2" ht="15">
      <c r="A1108" s="77" t="s">
        <v>4914</v>
      </c>
      <c r="B1108" s="76" t="s">
        <v>10944</v>
      </c>
    </row>
    <row r="1109" spans="1:2" ht="15">
      <c r="A1109" s="77" t="s">
        <v>4915</v>
      </c>
      <c r="B1109" s="76" t="s">
        <v>10944</v>
      </c>
    </row>
    <row r="1110" spans="1:2" ht="15">
      <c r="A1110" s="77" t="s">
        <v>4916</v>
      </c>
      <c r="B1110" s="76" t="s">
        <v>10944</v>
      </c>
    </row>
    <row r="1111" spans="1:2" ht="15">
      <c r="A1111" s="77" t="s">
        <v>4917</v>
      </c>
      <c r="B1111" s="76" t="s">
        <v>10944</v>
      </c>
    </row>
    <row r="1112" spans="1:2" ht="15">
      <c r="A1112" s="77" t="s">
        <v>4918</v>
      </c>
      <c r="B1112" s="76" t="s">
        <v>10944</v>
      </c>
    </row>
    <row r="1113" spans="1:2" ht="15">
      <c r="A1113" s="77" t="s">
        <v>4919</v>
      </c>
      <c r="B1113" s="76" t="s">
        <v>10944</v>
      </c>
    </row>
    <row r="1114" spans="1:2" ht="15">
      <c r="A1114" s="77" t="s">
        <v>4920</v>
      </c>
      <c r="B1114" s="76" t="s">
        <v>10944</v>
      </c>
    </row>
    <row r="1115" spans="1:2" ht="15">
      <c r="A1115" s="77" t="s">
        <v>4921</v>
      </c>
      <c r="B1115" s="76" t="s">
        <v>10944</v>
      </c>
    </row>
    <row r="1116" spans="1:2" ht="15">
      <c r="A1116" s="77" t="s">
        <v>4922</v>
      </c>
      <c r="B1116" s="76" t="s">
        <v>10944</v>
      </c>
    </row>
    <row r="1117" spans="1:2" ht="15">
      <c r="A1117" s="77" t="s">
        <v>4923</v>
      </c>
      <c r="B1117" s="76" t="s">
        <v>10944</v>
      </c>
    </row>
    <row r="1118" spans="1:2" ht="15">
      <c r="A1118" s="77" t="s">
        <v>4924</v>
      </c>
      <c r="B1118" s="76" t="s">
        <v>10944</v>
      </c>
    </row>
    <row r="1119" spans="1:2" ht="15">
      <c r="A1119" s="77" t="s">
        <v>4925</v>
      </c>
      <c r="B1119" s="76" t="s">
        <v>10944</v>
      </c>
    </row>
    <row r="1120" spans="1:2" ht="15">
      <c r="A1120" s="77" t="s">
        <v>4926</v>
      </c>
      <c r="B1120" s="76" t="s">
        <v>10944</v>
      </c>
    </row>
    <row r="1121" spans="1:2" ht="15">
      <c r="A1121" s="77" t="s">
        <v>4927</v>
      </c>
      <c r="B1121" s="76" t="s">
        <v>10944</v>
      </c>
    </row>
    <row r="1122" spans="1:2" ht="15">
      <c r="A1122" s="77" t="s">
        <v>4928</v>
      </c>
      <c r="B1122" s="76" t="s">
        <v>10944</v>
      </c>
    </row>
    <row r="1123" spans="1:2" ht="15">
      <c r="A1123" s="77" t="s">
        <v>4929</v>
      </c>
      <c r="B1123" s="76" t="s">
        <v>10944</v>
      </c>
    </row>
    <row r="1124" spans="1:2" ht="15">
      <c r="A1124" s="77" t="s">
        <v>4930</v>
      </c>
      <c r="B1124" s="76" t="s">
        <v>10944</v>
      </c>
    </row>
    <row r="1125" spans="1:2" ht="15">
      <c r="A1125" s="77" t="s">
        <v>4931</v>
      </c>
      <c r="B1125" s="76" t="s">
        <v>10944</v>
      </c>
    </row>
    <row r="1126" spans="1:2" ht="15">
      <c r="A1126" s="77" t="s">
        <v>4932</v>
      </c>
      <c r="B1126" s="76" t="s">
        <v>10944</v>
      </c>
    </row>
    <row r="1127" spans="1:2" ht="15">
      <c r="A1127" s="77" t="s">
        <v>4933</v>
      </c>
      <c r="B1127" s="76" t="s">
        <v>10944</v>
      </c>
    </row>
    <row r="1128" spans="1:2" ht="15">
      <c r="A1128" s="77" t="s">
        <v>4934</v>
      </c>
      <c r="B1128" s="76" t="s">
        <v>10944</v>
      </c>
    </row>
    <row r="1129" spans="1:2" ht="15">
      <c r="A1129" s="77" t="s">
        <v>4935</v>
      </c>
      <c r="B1129" s="76" t="s">
        <v>10944</v>
      </c>
    </row>
    <row r="1130" spans="1:2" ht="15">
      <c r="A1130" s="77" t="s">
        <v>4936</v>
      </c>
      <c r="B1130" s="76" t="s">
        <v>10944</v>
      </c>
    </row>
    <row r="1131" spans="1:2" ht="15">
      <c r="A1131" s="77" t="s">
        <v>4937</v>
      </c>
      <c r="B1131" s="76" t="s">
        <v>10944</v>
      </c>
    </row>
    <row r="1132" spans="1:2" ht="15">
      <c r="A1132" s="77" t="s">
        <v>4938</v>
      </c>
      <c r="B1132" s="76" t="s">
        <v>10944</v>
      </c>
    </row>
    <row r="1133" spans="1:2" ht="15">
      <c r="A1133" s="77" t="s">
        <v>4939</v>
      </c>
      <c r="B1133" s="76" t="s">
        <v>10944</v>
      </c>
    </row>
    <row r="1134" spans="1:2" ht="15">
      <c r="A1134" s="77" t="s">
        <v>4940</v>
      </c>
      <c r="B1134" s="76" t="s">
        <v>10944</v>
      </c>
    </row>
    <row r="1135" spans="1:2" ht="15">
      <c r="A1135" s="77" t="s">
        <v>4941</v>
      </c>
      <c r="B1135" s="76" t="s">
        <v>10944</v>
      </c>
    </row>
    <row r="1136" spans="1:2" ht="15">
      <c r="A1136" s="77" t="s">
        <v>4942</v>
      </c>
      <c r="B1136" s="76" t="s">
        <v>10944</v>
      </c>
    </row>
    <row r="1137" spans="1:2" ht="15">
      <c r="A1137" s="77" t="s">
        <v>4943</v>
      </c>
      <c r="B1137" s="76" t="s">
        <v>10944</v>
      </c>
    </row>
    <row r="1138" spans="1:2" ht="15">
      <c r="A1138" s="77" t="s">
        <v>4944</v>
      </c>
      <c r="B1138" s="76" t="s">
        <v>10944</v>
      </c>
    </row>
    <row r="1139" spans="1:2" ht="15">
      <c r="A1139" s="77" t="s">
        <v>4945</v>
      </c>
      <c r="B1139" s="76" t="s">
        <v>10944</v>
      </c>
    </row>
    <row r="1140" spans="1:2" ht="15">
      <c r="A1140" s="77" t="s">
        <v>4946</v>
      </c>
      <c r="B1140" s="76" t="s">
        <v>10944</v>
      </c>
    </row>
    <row r="1141" spans="1:2" ht="15">
      <c r="A1141" s="77" t="s">
        <v>4947</v>
      </c>
      <c r="B1141" s="76" t="s">
        <v>10944</v>
      </c>
    </row>
    <row r="1142" spans="1:2" ht="15">
      <c r="A1142" s="77" t="s">
        <v>4948</v>
      </c>
      <c r="B1142" s="76" t="s">
        <v>10944</v>
      </c>
    </row>
    <row r="1143" spans="1:2" ht="15">
      <c r="A1143" s="77" t="s">
        <v>4949</v>
      </c>
      <c r="B1143" s="76" t="s">
        <v>10944</v>
      </c>
    </row>
    <row r="1144" spans="1:2" ht="15">
      <c r="A1144" s="77" t="s">
        <v>4950</v>
      </c>
      <c r="B1144" s="76" t="s">
        <v>10944</v>
      </c>
    </row>
    <row r="1145" spans="1:2" ht="15">
      <c r="A1145" s="77" t="s">
        <v>4951</v>
      </c>
      <c r="B1145" s="76" t="s">
        <v>10944</v>
      </c>
    </row>
    <row r="1146" spans="1:2" ht="15">
      <c r="A1146" s="77" t="s">
        <v>4952</v>
      </c>
      <c r="B1146" s="76" t="s">
        <v>10944</v>
      </c>
    </row>
    <row r="1147" spans="1:2" ht="15">
      <c r="A1147" s="77" t="s">
        <v>4953</v>
      </c>
      <c r="B1147" s="76" t="s">
        <v>10944</v>
      </c>
    </row>
    <row r="1148" spans="1:2" ht="15">
      <c r="A1148" s="77" t="s">
        <v>4954</v>
      </c>
      <c r="B1148" s="76" t="s">
        <v>10944</v>
      </c>
    </row>
    <row r="1149" spans="1:2" ht="15">
      <c r="A1149" s="77" t="s">
        <v>4955</v>
      </c>
      <c r="B1149" s="76" t="s">
        <v>10944</v>
      </c>
    </row>
    <row r="1150" spans="1:2" ht="15">
      <c r="A1150" s="77" t="s">
        <v>4956</v>
      </c>
      <c r="B1150" s="76" t="s">
        <v>10944</v>
      </c>
    </row>
    <row r="1151" spans="1:2" ht="15">
      <c r="A1151" s="77" t="s">
        <v>4957</v>
      </c>
      <c r="B1151" s="76" t="s">
        <v>10944</v>
      </c>
    </row>
    <row r="1152" spans="1:2" ht="15">
      <c r="A1152" s="77" t="s">
        <v>4958</v>
      </c>
      <c r="B1152" s="76" t="s">
        <v>10944</v>
      </c>
    </row>
    <row r="1153" spans="1:2" ht="15">
      <c r="A1153" s="77" t="s">
        <v>4959</v>
      </c>
      <c r="B1153" s="76" t="s">
        <v>10944</v>
      </c>
    </row>
    <row r="1154" spans="1:2" ht="15">
      <c r="A1154" s="77" t="s">
        <v>4960</v>
      </c>
      <c r="B1154" s="76" t="s">
        <v>10944</v>
      </c>
    </row>
    <row r="1155" spans="1:2" ht="15">
      <c r="A1155" s="77" t="s">
        <v>4961</v>
      </c>
      <c r="B1155" s="76" t="s">
        <v>10944</v>
      </c>
    </row>
    <row r="1156" spans="1:2" ht="15">
      <c r="A1156" s="77" t="s">
        <v>4962</v>
      </c>
      <c r="B1156" s="76" t="s">
        <v>10944</v>
      </c>
    </row>
    <row r="1157" spans="1:2" ht="15">
      <c r="A1157" s="77" t="s">
        <v>4963</v>
      </c>
      <c r="B1157" s="76" t="s">
        <v>10944</v>
      </c>
    </row>
    <row r="1158" spans="1:2" ht="15">
      <c r="A1158" s="77" t="s">
        <v>4964</v>
      </c>
      <c r="B1158" s="76" t="s">
        <v>10944</v>
      </c>
    </row>
    <row r="1159" spans="1:2" ht="15">
      <c r="A1159" s="77" t="s">
        <v>4965</v>
      </c>
      <c r="B1159" s="76" t="s">
        <v>10944</v>
      </c>
    </row>
    <row r="1160" spans="1:2" ht="15">
      <c r="A1160" s="77" t="s">
        <v>4966</v>
      </c>
      <c r="B1160" s="76" t="s">
        <v>10944</v>
      </c>
    </row>
    <row r="1161" spans="1:2" ht="15">
      <c r="A1161" s="77" t="s">
        <v>4967</v>
      </c>
      <c r="B1161" s="76" t="s">
        <v>10944</v>
      </c>
    </row>
    <row r="1162" spans="1:2" ht="15">
      <c r="A1162" s="77" t="s">
        <v>4968</v>
      </c>
      <c r="B1162" s="76" t="s">
        <v>10944</v>
      </c>
    </row>
    <row r="1163" spans="1:2" ht="15">
      <c r="A1163" s="77" t="s">
        <v>4969</v>
      </c>
      <c r="B1163" s="76" t="s">
        <v>10944</v>
      </c>
    </row>
    <row r="1164" spans="1:2" ht="15">
      <c r="A1164" s="77" t="s">
        <v>4970</v>
      </c>
      <c r="B1164" s="76" t="s">
        <v>10944</v>
      </c>
    </row>
    <row r="1165" spans="1:2" ht="15">
      <c r="A1165" s="77" t="s">
        <v>4971</v>
      </c>
      <c r="B1165" s="76" t="s">
        <v>10944</v>
      </c>
    </row>
    <row r="1166" spans="1:2" ht="15">
      <c r="A1166" s="77" t="s">
        <v>4972</v>
      </c>
      <c r="B1166" s="76" t="s">
        <v>10944</v>
      </c>
    </row>
    <row r="1167" spans="1:2" ht="15">
      <c r="A1167" s="77" t="s">
        <v>4973</v>
      </c>
      <c r="B1167" s="76" t="s">
        <v>10944</v>
      </c>
    </row>
    <row r="1168" spans="1:2" ht="15">
      <c r="A1168" s="77" t="s">
        <v>4974</v>
      </c>
      <c r="B1168" s="76" t="s">
        <v>10944</v>
      </c>
    </row>
    <row r="1169" spans="1:2" ht="15">
      <c r="A1169" s="77" t="s">
        <v>4975</v>
      </c>
      <c r="B1169" s="76" t="s">
        <v>10944</v>
      </c>
    </row>
    <row r="1170" spans="1:2" ht="15">
      <c r="A1170" s="77" t="s">
        <v>4976</v>
      </c>
      <c r="B1170" s="76" t="s">
        <v>10944</v>
      </c>
    </row>
    <row r="1171" spans="1:2" ht="15">
      <c r="A1171" s="77" t="s">
        <v>4977</v>
      </c>
      <c r="B1171" s="76" t="s">
        <v>10944</v>
      </c>
    </row>
    <row r="1172" spans="1:2" ht="15">
      <c r="A1172" s="77" t="s">
        <v>4978</v>
      </c>
      <c r="B1172" s="76" t="s">
        <v>10944</v>
      </c>
    </row>
    <row r="1173" spans="1:2" ht="15">
      <c r="A1173" s="77" t="s">
        <v>4979</v>
      </c>
      <c r="B1173" s="76" t="s">
        <v>10944</v>
      </c>
    </row>
    <row r="1174" spans="1:2" ht="15">
      <c r="A1174" s="77" t="s">
        <v>4980</v>
      </c>
      <c r="B1174" s="76" t="s">
        <v>10944</v>
      </c>
    </row>
    <row r="1175" spans="1:2" ht="15">
      <c r="A1175" s="77" t="s">
        <v>4981</v>
      </c>
      <c r="B1175" s="76" t="s">
        <v>10944</v>
      </c>
    </row>
    <row r="1176" spans="1:2" ht="15">
      <c r="A1176" s="77" t="s">
        <v>4982</v>
      </c>
      <c r="B1176" s="76" t="s">
        <v>10944</v>
      </c>
    </row>
    <row r="1177" spans="1:2" ht="15">
      <c r="A1177" s="77" t="s">
        <v>4983</v>
      </c>
      <c r="B1177" s="76" t="s">
        <v>10944</v>
      </c>
    </row>
    <row r="1178" spans="1:2" ht="15">
      <c r="A1178" s="77" t="s">
        <v>4984</v>
      </c>
      <c r="B1178" s="76" t="s">
        <v>10944</v>
      </c>
    </row>
    <row r="1179" spans="1:2" ht="15">
      <c r="A1179" s="77" t="s">
        <v>4985</v>
      </c>
      <c r="B1179" s="76" t="s">
        <v>10944</v>
      </c>
    </row>
    <row r="1180" spans="1:2" ht="15">
      <c r="A1180" s="77" t="s">
        <v>4986</v>
      </c>
      <c r="B1180" s="76" t="s">
        <v>10944</v>
      </c>
    </row>
    <row r="1181" spans="1:2" ht="15">
      <c r="A1181" s="77" t="s">
        <v>4987</v>
      </c>
      <c r="B1181" s="76" t="s">
        <v>10944</v>
      </c>
    </row>
    <row r="1182" spans="1:2" ht="15">
      <c r="A1182" s="77" t="s">
        <v>4988</v>
      </c>
      <c r="B1182" s="76" t="s">
        <v>10944</v>
      </c>
    </row>
    <row r="1183" spans="1:2" ht="15">
      <c r="A1183" s="77" t="s">
        <v>4989</v>
      </c>
      <c r="B1183" s="76" t="s">
        <v>10944</v>
      </c>
    </row>
    <row r="1184" spans="1:2" ht="15">
      <c r="A1184" s="77" t="s">
        <v>4990</v>
      </c>
      <c r="B1184" s="76" t="s">
        <v>10944</v>
      </c>
    </row>
    <row r="1185" spans="1:2" ht="15">
      <c r="A1185" s="77" t="s">
        <v>4991</v>
      </c>
      <c r="B1185" s="76" t="s">
        <v>10944</v>
      </c>
    </row>
    <row r="1186" spans="1:2" ht="15">
      <c r="A1186" s="77" t="s">
        <v>4992</v>
      </c>
      <c r="B1186" s="76" t="s">
        <v>10944</v>
      </c>
    </row>
    <row r="1187" spans="1:2" ht="15">
      <c r="A1187" s="77" t="s">
        <v>4993</v>
      </c>
      <c r="B1187" s="76" t="s">
        <v>10944</v>
      </c>
    </row>
    <row r="1188" spans="1:2" ht="15">
      <c r="A1188" s="77" t="s">
        <v>4994</v>
      </c>
      <c r="B1188" s="76" t="s">
        <v>10944</v>
      </c>
    </row>
    <row r="1189" spans="1:2" ht="15">
      <c r="A1189" s="77" t="s">
        <v>4995</v>
      </c>
      <c r="B1189" s="76" t="s">
        <v>10944</v>
      </c>
    </row>
    <row r="1190" spans="1:2" ht="15">
      <c r="A1190" s="77" t="s">
        <v>4996</v>
      </c>
      <c r="B1190" s="76" t="s">
        <v>10944</v>
      </c>
    </row>
    <row r="1191" spans="1:2" ht="15">
      <c r="A1191" s="77" t="s">
        <v>4997</v>
      </c>
      <c r="B1191" s="76" t="s">
        <v>10944</v>
      </c>
    </row>
    <row r="1192" spans="1:2" ht="15">
      <c r="A1192" s="77" t="s">
        <v>4998</v>
      </c>
      <c r="B1192" s="76" t="s">
        <v>10944</v>
      </c>
    </row>
    <row r="1193" spans="1:2" ht="15">
      <c r="A1193" s="77" t="s">
        <v>4999</v>
      </c>
      <c r="B1193" s="76" t="s">
        <v>10944</v>
      </c>
    </row>
    <row r="1194" spans="1:2" ht="15">
      <c r="A1194" s="77" t="s">
        <v>5000</v>
      </c>
      <c r="B1194" s="76" t="s">
        <v>10944</v>
      </c>
    </row>
    <row r="1195" spans="1:2" ht="15">
      <c r="A1195" s="77" t="s">
        <v>5001</v>
      </c>
      <c r="B1195" s="76" t="s">
        <v>10944</v>
      </c>
    </row>
    <row r="1196" spans="1:2" ht="15">
      <c r="A1196" s="77" t="s">
        <v>5002</v>
      </c>
      <c r="B1196" s="76" t="s">
        <v>10944</v>
      </c>
    </row>
    <row r="1197" spans="1:2" ht="15">
      <c r="A1197" s="77" t="s">
        <v>5003</v>
      </c>
      <c r="B1197" s="76" t="s">
        <v>10944</v>
      </c>
    </row>
    <row r="1198" spans="1:2" ht="15">
      <c r="A1198" s="77" t="s">
        <v>5004</v>
      </c>
      <c r="B1198" s="76" t="s">
        <v>10944</v>
      </c>
    </row>
    <row r="1199" spans="1:2" ht="15">
      <c r="A1199" s="77" t="s">
        <v>5005</v>
      </c>
      <c r="B1199" s="76" t="s">
        <v>10944</v>
      </c>
    </row>
    <row r="1200" spans="1:2" ht="15">
      <c r="A1200" s="77" t="s">
        <v>5006</v>
      </c>
      <c r="B1200" s="76" t="s">
        <v>10944</v>
      </c>
    </row>
    <row r="1201" spans="1:2" ht="15">
      <c r="A1201" s="77" t="s">
        <v>5007</v>
      </c>
      <c r="B1201" s="76" t="s">
        <v>10944</v>
      </c>
    </row>
    <row r="1202" spans="1:2" ht="15">
      <c r="A1202" s="77" t="s">
        <v>5008</v>
      </c>
      <c r="B1202" s="76" t="s">
        <v>10944</v>
      </c>
    </row>
    <row r="1203" spans="1:2" ht="15">
      <c r="A1203" s="77" t="s">
        <v>5009</v>
      </c>
      <c r="B1203" s="76" t="s">
        <v>10944</v>
      </c>
    </row>
    <row r="1204" spans="1:2" ht="15">
      <c r="A1204" s="77" t="s">
        <v>5010</v>
      </c>
      <c r="B1204" s="76" t="s">
        <v>10944</v>
      </c>
    </row>
    <row r="1205" spans="1:2" ht="15">
      <c r="A1205" s="77" t="s">
        <v>5011</v>
      </c>
      <c r="B1205" s="76" t="s">
        <v>10944</v>
      </c>
    </row>
    <row r="1206" spans="1:2" ht="15">
      <c r="A1206" s="77" t="s">
        <v>5012</v>
      </c>
      <c r="B1206" s="76" t="s">
        <v>10944</v>
      </c>
    </row>
    <row r="1207" spans="1:2" ht="15">
      <c r="A1207" s="77" t="s">
        <v>5013</v>
      </c>
      <c r="B1207" s="76" t="s">
        <v>10944</v>
      </c>
    </row>
    <row r="1208" spans="1:2" ht="15">
      <c r="A1208" s="77" t="s">
        <v>5014</v>
      </c>
      <c r="B1208" s="76" t="s">
        <v>10944</v>
      </c>
    </row>
    <row r="1209" spans="1:2" ht="15">
      <c r="A1209" s="77" t="s">
        <v>5015</v>
      </c>
      <c r="B1209" s="76" t="s">
        <v>10944</v>
      </c>
    </row>
    <row r="1210" spans="1:2" ht="15">
      <c r="A1210" s="77" t="s">
        <v>5016</v>
      </c>
      <c r="B1210" s="76" t="s">
        <v>10944</v>
      </c>
    </row>
    <row r="1211" spans="1:2" ht="15">
      <c r="A1211" s="77" t="s">
        <v>5017</v>
      </c>
      <c r="B1211" s="76" t="s">
        <v>10944</v>
      </c>
    </row>
    <row r="1212" spans="1:2" ht="15">
      <c r="A1212" s="77" t="s">
        <v>5018</v>
      </c>
      <c r="B1212" s="76" t="s">
        <v>10944</v>
      </c>
    </row>
    <row r="1213" spans="1:2" ht="15">
      <c r="A1213" s="77" t="s">
        <v>5019</v>
      </c>
      <c r="B1213" s="76" t="s">
        <v>10944</v>
      </c>
    </row>
    <row r="1214" spans="1:2" ht="15">
      <c r="A1214" s="77" t="s">
        <v>2945</v>
      </c>
      <c r="B1214" s="76" t="s">
        <v>10944</v>
      </c>
    </row>
    <row r="1215" spans="1:2" ht="15">
      <c r="A1215" s="77" t="s">
        <v>5020</v>
      </c>
      <c r="B1215" s="76" t="s">
        <v>10944</v>
      </c>
    </row>
    <row r="1216" spans="1:2" ht="15">
      <c r="A1216" s="77" t="s">
        <v>5021</v>
      </c>
      <c r="B1216" s="76" t="s">
        <v>10944</v>
      </c>
    </row>
    <row r="1217" spans="1:2" ht="15">
      <c r="A1217" s="77" t="s">
        <v>5022</v>
      </c>
      <c r="B1217" s="76" t="s">
        <v>10944</v>
      </c>
    </row>
    <row r="1218" spans="1:2" ht="15">
      <c r="A1218" s="77" t="s">
        <v>5023</v>
      </c>
      <c r="B1218" s="76" t="s">
        <v>10944</v>
      </c>
    </row>
    <row r="1219" spans="1:2" ht="15">
      <c r="A1219" s="77" t="s">
        <v>5024</v>
      </c>
      <c r="B1219" s="76" t="s">
        <v>10944</v>
      </c>
    </row>
    <row r="1220" spans="1:2" ht="15">
      <c r="A1220" s="77" t="s">
        <v>5025</v>
      </c>
      <c r="B1220" s="76" t="s">
        <v>10944</v>
      </c>
    </row>
    <row r="1221" spans="1:2" ht="15">
      <c r="A1221" s="77" t="s">
        <v>5026</v>
      </c>
      <c r="B1221" s="76" t="s">
        <v>10944</v>
      </c>
    </row>
    <row r="1222" spans="1:2" ht="15">
      <c r="A1222" s="77" t="s">
        <v>5027</v>
      </c>
      <c r="B1222" s="76" t="s">
        <v>10944</v>
      </c>
    </row>
    <row r="1223" spans="1:2" ht="15">
      <c r="A1223" s="77" t="s">
        <v>3415</v>
      </c>
      <c r="B1223" s="76" t="s">
        <v>10944</v>
      </c>
    </row>
    <row r="1224" spans="1:2" ht="15">
      <c r="A1224" s="77" t="s">
        <v>5028</v>
      </c>
      <c r="B1224" s="76" t="s">
        <v>10944</v>
      </c>
    </row>
    <row r="1225" spans="1:2" ht="15">
      <c r="A1225" s="77" t="s">
        <v>5029</v>
      </c>
      <c r="B1225" s="76" t="s">
        <v>10944</v>
      </c>
    </row>
    <row r="1226" spans="1:2" ht="15">
      <c r="A1226" s="77" t="s">
        <v>5030</v>
      </c>
      <c r="B1226" s="76" t="s">
        <v>10944</v>
      </c>
    </row>
    <row r="1227" spans="1:2" ht="15">
      <c r="A1227" s="77" t="s">
        <v>5031</v>
      </c>
      <c r="B1227" s="76" t="s">
        <v>10944</v>
      </c>
    </row>
    <row r="1228" spans="1:2" ht="15">
      <c r="A1228" s="77" t="s">
        <v>5032</v>
      </c>
      <c r="B1228" s="76" t="s">
        <v>10944</v>
      </c>
    </row>
    <row r="1229" spans="1:2" ht="15">
      <c r="A1229" s="77" t="s">
        <v>5033</v>
      </c>
      <c r="B1229" s="76" t="s">
        <v>10944</v>
      </c>
    </row>
    <row r="1230" spans="1:2" ht="15">
      <c r="A1230" s="77" t="s">
        <v>5034</v>
      </c>
      <c r="B1230" s="76" t="s">
        <v>10944</v>
      </c>
    </row>
    <row r="1231" spans="1:2" ht="15">
      <c r="A1231" s="77" t="s">
        <v>5035</v>
      </c>
      <c r="B1231" s="76" t="s">
        <v>10944</v>
      </c>
    </row>
    <row r="1232" spans="1:2" ht="15">
      <c r="A1232" s="77" t="s">
        <v>5036</v>
      </c>
      <c r="B1232" s="76" t="s">
        <v>10944</v>
      </c>
    </row>
    <row r="1233" spans="1:2" ht="15">
      <c r="A1233" s="77" t="s">
        <v>5037</v>
      </c>
      <c r="B1233" s="76" t="s">
        <v>10944</v>
      </c>
    </row>
    <row r="1234" spans="1:2" ht="15">
      <c r="A1234" s="77" t="s">
        <v>5038</v>
      </c>
      <c r="B1234" s="76" t="s">
        <v>10944</v>
      </c>
    </row>
    <row r="1235" spans="1:2" ht="15">
      <c r="A1235" s="77" t="s">
        <v>5039</v>
      </c>
      <c r="B1235" s="76" t="s">
        <v>10944</v>
      </c>
    </row>
    <row r="1236" spans="1:2" ht="15">
      <c r="A1236" s="77" t="s">
        <v>5040</v>
      </c>
      <c r="B1236" s="76" t="s">
        <v>10944</v>
      </c>
    </row>
    <row r="1237" spans="1:2" ht="15">
      <c r="A1237" s="77" t="s">
        <v>5041</v>
      </c>
      <c r="B1237" s="76" t="s">
        <v>10944</v>
      </c>
    </row>
    <row r="1238" spans="1:2" ht="15">
      <c r="A1238" s="77" t="s">
        <v>5042</v>
      </c>
      <c r="B1238" s="76" t="s">
        <v>10944</v>
      </c>
    </row>
    <row r="1239" spans="1:2" ht="15">
      <c r="A1239" s="77" t="s">
        <v>5043</v>
      </c>
      <c r="B1239" s="76" t="s">
        <v>10944</v>
      </c>
    </row>
    <row r="1240" spans="1:2" ht="15">
      <c r="A1240" s="77" t="s">
        <v>5044</v>
      </c>
      <c r="B1240" s="76" t="s">
        <v>10944</v>
      </c>
    </row>
    <row r="1241" spans="1:2" ht="15">
      <c r="A1241" s="77" t="s">
        <v>5045</v>
      </c>
      <c r="B1241" s="76" t="s">
        <v>10944</v>
      </c>
    </row>
    <row r="1242" spans="1:2" ht="15">
      <c r="A1242" s="77" t="s">
        <v>5046</v>
      </c>
      <c r="B1242" s="76" t="s">
        <v>10944</v>
      </c>
    </row>
    <row r="1243" spans="1:2" ht="15">
      <c r="A1243" s="77" t="s">
        <v>5047</v>
      </c>
      <c r="B1243" s="76" t="s">
        <v>10944</v>
      </c>
    </row>
    <row r="1244" spans="1:2" ht="15">
      <c r="A1244" s="77" t="s">
        <v>5048</v>
      </c>
      <c r="B1244" s="76" t="s">
        <v>10944</v>
      </c>
    </row>
    <row r="1245" spans="1:2" ht="15">
      <c r="A1245" s="77" t="s">
        <v>5049</v>
      </c>
      <c r="B1245" s="76" t="s">
        <v>10944</v>
      </c>
    </row>
    <row r="1246" spans="1:2" ht="15">
      <c r="A1246" s="77" t="s">
        <v>5050</v>
      </c>
      <c r="B1246" s="76" t="s">
        <v>10944</v>
      </c>
    </row>
    <row r="1247" spans="1:2" ht="15">
      <c r="A1247" s="77" t="s">
        <v>5051</v>
      </c>
      <c r="B1247" s="76" t="s">
        <v>10944</v>
      </c>
    </row>
    <row r="1248" spans="1:2" ht="15">
      <c r="A1248" s="77" t="s">
        <v>5052</v>
      </c>
      <c r="B1248" s="76" t="s">
        <v>10944</v>
      </c>
    </row>
    <row r="1249" spans="1:2" ht="15">
      <c r="A1249" s="77" t="s">
        <v>5053</v>
      </c>
      <c r="B1249" s="76" t="s">
        <v>10944</v>
      </c>
    </row>
    <row r="1250" spans="1:2" ht="15">
      <c r="A1250" s="77" t="s">
        <v>5054</v>
      </c>
      <c r="B1250" s="76" t="s">
        <v>10944</v>
      </c>
    </row>
    <row r="1251" spans="1:2" ht="15">
      <c r="A1251" s="77" t="s">
        <v>5055</v>
      </c>
      <c r="B1251" s="76" t="s">
        <v>10944</v>
      </c>
    </row>
    <row r="1252" spans="1:2" ht="15">
      <c r="A1252" s="77" t="s">
        <v>5056</v>
      </c>
      <c r="B1252" s="76" t="s">
        <v>10944</v>
      </c>
    </row>
    <row r="1253" spans="1:2" ht="15">
      <c r="A1253" s="77" t="s">
        <v>5057</v>
      </c>
      <c r="B1253" s="76" t="s">
        <v>10944</v>
      </c>
    </row>
    <row r="1254" spans="1:2" ht="15">
      <c r="A1254" s="77" t="s">
        <v>5058</v>
      </c>
      <c r="B1254" s="76" t="s">
        <v>10944</v>
      </c>
    </row>
    <row r="1255" spans="1:2" ht="15">
      <c r="A1255" s="77" t="s">
        <v>5059</v>
      </c>
      <c r="B1255" s="76" t="s">
        <v>10944</v>
      </c>
    </row>
    <row r="1256" spans="1:2" ht="15">
      <c r="A1256" s="77" t="s">
        <v>5060</v>
      </c>
      <c r="B1256" s="76" t="s">
        <v>10944</v>
      </c>
    </row>
    <row r="1257" spans="1:2" ht="15">
      <c r="A1257" s="77" t="s">
        <v>5061</v>
      </c>
      <c r="B1257" s="76" t="s">
        <v>10944</v>
      </c>
    </row>
    <row r="1258" spans="1:2" ht="15">
      <c r="A1258" s="77" t="s">
        <v>5062</v>
      </c>
      <c r="B1258" s="76" t="s">
        <v>10944</v>
      </c>
    </row>
    <row r="1259" spans="1:2" ht="15">
      <c r="A1259" s="77" t="s">
        <v>5063</v>
      </c>
      <c r="B1259" s="76" t="s">
        <v>10944</v>
      </c>
    </row>
    <row r="1260" spans="1:2" ht="15">
      <c r="A1260" s="77" t="s">
        <v>5064</v>
      </c>
      <c r="B1260" s="76" t="s">
        <v>10944</v>
      </c>
    </row>
    <row r="1261" spans="1:2" ht="15">
      <c r="A1261" s="77" t="s">
        <v>5065</v>
      </c>
      <c r="B1261" s="76" t="s">
        <v>10944</v>
      </c>
    </row>
    <row r="1262" spans="1:2" ht="15">
      <c r="A1262" s="77" t="s">
        <v>5066</v>
      </c>
      <c r="B1262" s="76" t="s">
        <v>10944</v>
      </c>
    </row>
    <row r="1263" spans="1:2" ht="15">
      <c r="A1263" s="77" t="s">
        <v>5067</v>
      </c>
      <c r="B1263" s="76" t="s">
        <v>10944</v>
      </c>
    </row>
    <row r="1264" spans="1:2" ht="15">
      <c r="A1264" s="77" t="s">
        <v>5068</v>
      </c>
      <c r="B1264" s="76" t="s">
        <v>10944</v>
      </c>
    </row>
    <row r="1265" spans="1:2" ht="15">
      <c r="A1265" s="77" t="s">
        <v>5069</v>
      </c>
      <c r="B1265" s="76" t="s">
        <v>10944</v>
      </c>
    </row>
    <row r="1266" spans="1:2" ht="15">
      <c r="A1266" s="77" t="s">
        <v>5070</v>
      </c>
      <c r="B1266" s="76" t="s">
        <v>10944</v>
      </c>
    </row>
    <row r="1267" spans="1:2" ht="15">
      <c r="A1267" s="77" t="s">
        <v>5071</v>
      </c>
      <c r="B1267" s="76" t="s">
        <v>10944</v>
      </c>
    </row>
    <row r="1268" spans="1:2" ht="15">
      <c r="A1268" s="77" t="s">
        <v>5072</v>
      </c>
      <c r="B1268" s="76" t="s">
        <v>10944</v>
      </c>
    </row>
    <row r="1269" spans="1:2" ht="15">
      <c r="A1269" s="77" t="s">
        <v>5073</v>
      </c>
      <c r="B1269" s="76" t="s">
        <v>10944</v>
      </c>
    </row>
    <row r="1270" spans="1:2" ht="15">
      <c r="A1270" s="77" t="s">
        <v>5074</v>
      </c>
      <c r="B1270" s="76" t="s">
        <v>10944</v>
      </c>
    </row>
    <row r="1271" spans="1:2" ht="15">
      <c r="A1271" s="77" t="s">
        <v>5075</v>
      </c>
      <c r="B1271" s="76" t="s">
        <v>10944</v>
      </c>
    </row>
    <row r="1272" spans="1:2" ht="15">
      <c r="A1272" s="77" t="s">
        <v>5076</v>
      </c>
      <c r="B1272" s="76" t="s">
        <v>10944</v>
      </c>
    </row>
    <row r="1273" spans="1:2" ht="15">
      <c r="A1273" s="77" t="s">
        <v>5077</v>
      </c>
      <c r="B1273" s="76" t="s">
        <v>10944</v>
      </c>
    </row>
    <row r="1274" spans="1:2" ht="15">
      <c r="A1274" s="77" t="s">
        <v>5078</v>
      </c>
      <c r="B1274" s="76" t="s">
        <v>10944</v>
      </c>
    </row>
    <row r="1275" spans="1:2" ht="15">
      <c r="A1275" s="77" t="s">
        <v>5079</v>
      </c>
      <c r="B1275" s="76" t="s">
        <v>10944</v>
      </c>
    </row>
    <row r="1276" spans="1:2" ht="15">
      <c r="A1276" s="77" t="s">
        <v>5080</v>
      </c>
      <c r="B1276" s="76" t="s">
        <v>10944</v>
      </c>
    </row>
    <row r="1277" spans="1:2" ht="15">
      <c r="A1277" s="77" t="s">
        <v>5081</v>
      </c>
      <c r="B1277" s="76" t="s">
        <v>10944</v>
      </c>
    </row>
    <row r="1278" spans="1:2" ht="15">
      <c r="A1278" s="77" t="s">
        <v>5082</v>
      </c>
      <c r="B1278" s="76" t="s">
        <v>10944</v>
      </c>
    </row>
    <row r="1279" spans="1:2" ht="15">
      <c r="A1279" s="77" t="s">
        <v>5083</v>
      </c>
      <c r="B1279" s="76" t="s">
        <v>10944</v>
      </c>
    </row>
    <row r="1280" spans="1:2" ht="15">
      <c r="A1280" s="77" t="s">
        <v>5084</v>
      </c>
      <c r="B1280" s="76" t="s">
        <v>10944</v>
      </c>
    </row>
    <row r="1281" spans="1:2" ht="15">
      <c r="A1281" s="77" t="s">
        <v>5085</v>
      </c>
      <c r="B1281" s="76" t="s">
        <v>10944</v>
      </c>
    </row>
    <row r="1282" spans="1:2" ht="15">
      <c r="A1282" s="77" t="s">
        <v>5086</v>
      </c>
      <c r="B1282" s="76" t="s">
        <v>10944</v>
      </c>
    </row>
    <row r="1283" spans="1:2" ht="15">
      <c r="A1283" s="77" t="s">
        <v>5087</v>
      </c>
      <c r="B1283" s="76" t="s">
        <v>10944</v>
      </c>
    </row>
    <row r="1284" spans="1:2" ht="15">
      <c r="A1284" s="77" t="s">
        <v>5088</v>
      </c>
      <c r="B1284" s="76" t="s">
        <v>10944</v>
      </c>
    </row>
    <row r="1285" spans="1:2" ht="15">
      <c r="A1285" s="77" t="s">
        <v>5089</v>
      </c>
      <c r="B1285" s="76" t="s">
        <v>10944</v>
      </c>
    </row>
    <row r="1286" spans="1:2" ht="15">
      <c r="A1286" s="77" t="s">
        <v>5090</v>
      </c>
      <c r="B1286" s="76" t="s">
        <v>10944</v>
      </c>
    </row>
    <row r="1287" spans="1:2" ht="15">
      <c r="A1287" s="77" t="s">
        <v>5091</v>
      </c>
      <c r="B1287" s="76" t="s">
        <v>10944</v>
      </c>
    </row>
    <row r="1288" spans="1:2" ht="15">
      <c r="A1288" s="77" t="s">
        <v>5092</v>
      </c>
      <c r="B1288" s="76" t="s">
        <v>10944</v>
      </c>
    </row>
    <row r="1289" spans="1:2" ht="15">
      <c r="A1289" s="77" t="s">
        <v>5093</v>
      </c>
      <c r="B1289" s="76" t="s">
        <v>10944</v>
      </c>
    </row>
    <row r="1290" spans="1:2" ht="15">
      <c r="A1290" s="77" t="s">
        <v>5094</v>
      </c>
      <c r="B1290" s="76" t="s">
        <v>10944</v>
      </c>
    </row>
    <row r="1291" spans="1:2" ht="15">
      <c r="A1291" s="77" t="s">
        <v>5095</v>
      </c>
      <c r="B1291" s="76" t="s">
        <v>10944</v>
      </c>
    </row>
    <row r="1292" spans="1:2" ht="15">
      <c r="A1292" s="77" t="s">
        <v>5096</v>
      </c>
      <c r="B1292" s="76" t="s">
        <v>10944</v>
      </c>
    </row>
    <row r="1293" spans="1:2" ht="15">
      <c r="A1293" s="77" t="s">
        <v>2540</v>
      </c>
      <c r="B1293" s="76" t="s">
        <v>10944</v>
      </c>
    </row>
    <row r="1294" spans="1:2" ht="15">
      <c r="A1294" s="77" t="s">
        <v>5097</v>
      </c>
      <c r="B1294" s="76" t="s">
        <v>10944</v>
      </c>
    </row>
    <row r="1295" spans="1:2" ht="15">
      <c r="A1295" s="77" t="s">
        <v>5098</v>
      </c>
      <c r="B1295" s="76" t="s">
        <v>10944</v>
      </c>
    </row>
    <row r="1296" spans="1:2" ht="15">
      <c r="A1296" s="77" t="s">
        <v>5099</v>
      </c>
      <c r="B1296" s="76" t="s">
        <v>10944</v>
      </c>
    </row>
    <row r="1297" spans="1:2" ht="15">
      <c r="A1297" s="77" t="s">
        <v>3702</v>
      </c>
      <c r="B1297" s="76" t="s">
        <v>10944</v>
      </c>
    </row>
    <row r="1298" spans="1:2" ht="15">
      <c r="A1298" s="77" t="s">
        <v>5100</v>
      </c>
      <c r="B1298" s="76" t="s">
        <v>10944</v>
      </c>
    </row>
    <row r="1299" spans="1:2" ht="15">
      <c r="A1299" s="77" t="s">
        <v>5101</v>
      </c>
      <c r="B1299" s="76" t="s">
        <v>10944</v>
      </c>
    </row>
    <row r="1300" spans="1:2" ht="15">
      <c r="A1300" s="77" t="s">
        <v>5102</v>
      </c>
      <c r="B1300" s="76" t="s">
        <v>10944</v>
      </c>
    </row>
    <row r="1301" spans="1:2" ht="15">
      <c r="A1301" s="77" t="s">
        <v>5103</v>
      </c>
      <c r="B1301" s="76" t="s">
        <v>10944</v>
      </c>
    </row>
    <row r="1302" spans="1:2" ht="15">
      <c r="A1302" s="77" t="s">
        <v>5104</v>
      </c>
      <c r="B1302" s="76" t="s">
        <v>10944</v>
      </c>
    </row>
    <row r="1303" spans="1:2" ht="15">
      <c r="A1303" s="77" t="s">
        <v>5105</v>
      </c>
      <c r="B1303" s="76" t="s">
        <v>10944</v>
      </c>
    </row>
    <row r="1304" spans="1:2" ht="15">
      <c r="A1304" s="77" t="s">
        <v>5106</v>
      </c>
      <c r="B1304" s="76" t="s">
        <v>10944</v>
      </c>
    </row>
    <row r="1305" spans="1:2" ht="15">
      <c r="A1305" s="77" t="s">
        <v>5107</v>
      </c>
      <c r="B1305" s="76" t="s">
        <v>10944</v>
      </c>
    </row>
    <row r="1306" spans="1:2" ht="15">
      <c r="A1306" s="77" t="s">
        <v>5108</v>
      </c>
      <c r="B1306" s="76" t="s">
        <v>10944</v>
      </c>
    </row>
    <row r="1307" spans="1:2" ht="15">
      <c r="A1307" s="77" t="s">
        <v>5109</v>
      </c>
      <c r="B1307" s="76" t="s">
        <v>10944</v>
      </c>
    </row>
    <row r="1308" spans="1:2" ht="15">
      <c r="A1308" s="77" t="s">
        <v>5110</v>
      </c>
      <c r="B1308" s="76" t="s">
        <v>10944</v>
      </c>
    </row>
    <row r="1309" spans="1:2" ht="15">
      <c r="A1309" s="77" t="s">
        <v>5111</v>
      </c>
      <c r="B1309" s="76" t="s">
        <v>10944</v>
      </c>
    </row>
    <row r="1310" spans="1:2" ht="15">
      <c r="A1310" s="77" t="s">
        <v>5112</v>
      </c>
      <c r="B1310" s="76" t="s">
        <v>10944</v>
      </c>
    </row>
    <row r="1311" spans="1:2" ht="15">
      <c r="A1311" s="77" t="s">
        <v>5113</v>
      </c>
      <c r="B1311" s="76" t="s">
        <v>10944</v>
      </c>
    </row>
    <row r="1312" spans="1:2" ht="15">
      <c r="A1312" s="77" t="s">
        <v>3425</v>
      </c>
      <c r="B1312" s="76" t="s">
        <v>10944</v>
      </c>
    </row>
    <row r="1313" spans="1:2" ht="15">
      <c r="A1313" s="77" t="s">
        <v>5114</v>
      </c>
      <c r="B1313" s="76" t="s">
        <v>10944</v>
      </c>
    </row>
    <row r="1314" spans="1:2" ht="15">
      <c r="A1314" s="77" t="s">
        <v>5115</v>
      </c>
      <c r="B1314" s="76" t="s">
        <v>10944</v>
      </c>
    </row>
    <row r="1315" spans="1:2" ht="15">
      <c r="A1315" s="77" t="s">
        <v>5116</v>
      </c>
      <c r="B1315" s="76" t="s">
        <v>10944</v>
      </c>
    </row>
    <row r="1316" spans="1:2" ht="15">
      <c r="A1316" s="77" t="s">
        <v>5117</v>
      </c>
      <c r="B1316" s="76" t="s">
        <v>10944</v>
      </c>
    </row>
    <row r="1317" spans="1:2" ht="15">
      <c r="A1317" s="77" t="s">
        <v>5118</v>
      </c>
      <c r="B1317" s="76" t="s">
        <v>10944</v>
      </c>
    </row>
    <row r="1318" spans="1:2" ht="15">
      <c r="A1318" s="77" t="s">
        <v>5119</v>
      </c>
      <c r="B1318" s="76" t="s">
        <v>10944</v>
      </c>
    </row>
    <row r="1319" spans="1:2" ht="15">
      <c r="A1319" s="77" t="s">
        <v>5120</v>
      </c>
      <c r="B1319" s="76" t="s">
        <v>10944</v>
      </c>
    </row>
    <row r="1320" spans="1:2" ht="15">
      <c r="A1320" s="77" t="s">
        <v>5121</v>
      </c>
      <c r="B1320" s="76" t="s">
        <v>10944</v>
      </c>
    </row>
    <row r="1321" spans="1:2" ht="15">
      <c r="A1321" s="77" t="s">
        <v>5122</v>
      </c>
      <c r="B1321" s="76" t="s">
        <v>10944</v>
      </c>
    </row>
    <row r="1322" spans="1:2" ht="15">
      <c r="A1322" s="77" t="s">
        <v>5123</v>
      </c>
      <c r="B1322" s="76" t="s">
        <v>10944</v>
      </c>
    </row>
    <row r="1323" spans="1:2" ht="15">
      <c r="A1323" s="77" t="s">
        <v>5124</v>
      </c>
      <c r="B1323" s="76" t="s">
        <v>10944</v>
      </c>
    </row>
    <row r="1324" spans="1:2" ht="15">
      <c r="A1324" s="77" t="s">
        <v>5125</v>
      </c>
      <c r="B1324" s="76" t="s">
        <v>10944</v>
      </c>
    </row>
    <row r="1325" spans="1:2" ht="15">
      <c r="A1325" s="77" t="s">
        <v>5126</v>
      </c>
      <c r="B1325" s="76" t="s">
        <v>10944</v>
      </c>
    </row>
    <row r="1326" spans="1:2" ht="15">
      <c r="A1326" s="77" t="s">
        <v>5127</v>
      </c>
      <c r="B1326" s="76" t="s">
        <v>10944</v>
      </c>
    </row>
    <row r="1327" spans="1:2" ht="15">
      <c r="A1327" s="77" t="s">
        <v>5128</v>
      </c>
      <c r="B1327" s="76" t="s">
        <v>10944</v>
      </c>
    </row>
    <row r="1328" spans="1:2" ht="15">
      <c r="A1328" s="77" t="s">
        <v>5129</v>
      </c>
      <c r="B1328" s="76" t="s">
        <v>10944</v>
      </c>
    </row>
    <row r="1329" spans="1:2" ht="15">
      <c r="A1329" s="77" t="s">
        <v>5130</v>
      </c>
      <c r="B1329" s="76" t="s">
        <v>10944</v>
      </c>
    </row>
    <row r="1330" spans="1:2" ht="15">
      <c r="A1330" s="77" t="s">
        <v>5131</v>
      </c>
      <c r="B1330" s="76" t="s">
        <v>10944</v>
      </c>
    </row>
    <row r="1331" spans="1:2" ht="15">
      <c r="A1331" s="77" t="s">
        <v>5132</v>
      </c>
      <c r="B1331" s="76" t="s">
        <v>10944</v>
      </c>
    </row>
    <row r="1332" spans="1:2" ht="15">
      <c r="A1332" s="77" t="s">
        <v>5133</v>
      </c>
      <c r="B1332" s="76" t="s">
        <v>10944</v>
      </c>
    </row>
    <row r="1333" spans="1:2" ht="15">
      <c r="A1333" s="77" t="s">
        <v>5134</v>
      </c>
      <c r="B1333" s="76" t="s">
        <v>10944</v>
      </c>
    </row>
    <row r="1334" spans="1:2" ht="15">
      <c r="A1334" s="77" t="s">
        <v>5135</v>
      </c>
      <c r="B1334" s="76" t="s">
        <v>10944</v>
      </c>
    </row>
    <row r="1335" spans="1:2" ht="15">
      <c r="A1335" s="77" t="s">
        <v>5136</v>
      </c>
      <c r="B1335" s="76" t="s">
        <v>10944</v>
      </c>
    </row>
    <row r="1336" spans="1:2" ht="15">
      <c r="A1336" s="77" t="s">
        <v>5137</v>
      </c>
      <c r="B1336" s="76" t="s">
        <v>10944</v>
      </c>
    </row>
    <row r="1337" spans="1:2" ht="15">
      <c r="A1337" s="77" t="s">
        <v>5138</v>
      </c>
      <c r="B1337" s="76" t="s">
        <v>10944</v>
      </c>
    </row>
    <row r="1338" spans="1:2" ht="15">
      <c r="A1338" s="77" t="s">
        <v>5139</v>
      </c>
      <c r="B1338" s="76" t="s">
        <v>10944</v>
      </c>
    </row>
    <row r="1339" spans="1:2" ht="15">
      <c r="A1339" s="77" t="s">
        <v>5140</v>
      </c>
      <c r="B1339" s="76" t="s">
        <v>10944</v>
      </c>
    </row>
    <row r="1340" spans="1:2" ht="15">
      <c r="A1340" s="77" t="s">
        <v>5141</v>
      </c>
      <c r="B1340" s="76" t="s">
        <v>10944</v>
      </c>
    </row>
    <row r="1341" spans="1:2" ht="15">
      <c r="A1341" s="77" t="s">
        <v>5142</v>
      </c>
      <c r="B1341" s="76" t="s">
        <v>10944</v>
      </c>
    </row>
    <row r="1342" spans="1:2" ht="15">
      <c r="A1342" s="77" t="s">
        <v>5143</v>
      </c>
      <c r="B1342" s="76" t="s">
        <v>10944</v>
      </c>
    </row>
    <row r="1343" spans="1:2" ht="15">
      <c r="A1343" s="77" t="s">
        <v>5144</v>
      </c>
      <c r="B1343" s="76" t="s">
        <v>10944</v>
      </c>
    </row>
    <row r="1344" spans="1:2" ht="15">
      <c r="A1344" s="77" t="s">
        <v>5145</v>
      </c>
      <c r="B1344" s="76" t="s">
        <v>10944</v>
      </c>
    </row>
    <row r="1345" spans="1:2" ht="15">
      <c r="A1345" s="77" t="s">
        <v>5146</v>
      </c>
      <c r="B1345" s="76" t="s">
        <v>10944</v>
      </c>
    </row>
    <row r="1346" spans="1:2" ht="15">
      <c r="A1346" s="77" t="s">
        <v>5147</v>
      </c>
      <c r="B1346" s="76" t="s">
        <v>10944</v>
      </c>
    </row>
    <row r="1347" spans="1:2" ht="15">
      <c r="A1347" s="77" t="s">
        <v>5148</v>
      </c>
      <c r="B1347" s="76" t="s">
        <v>10944</v>
      </c>
    </row>
    <row r="1348" spans="1:2" ht="15">
      <c r="A1348" s="77" t="s">
        <v>5149</v>
      </c>
      <c r="B1348" s="76" t="s">
        <v>10944</v>
      </c>
    </row>
    <row r="1349" spans="1:2" ht="15">
      <c r="A1349" s="77" t="s">
        <v>5150</v>
      </c>
      <c r="B1349" s="76" t="s">
        <v>10944</v>
      </c>
    </row>
    <row r="1350" spans="1:2" ht="15">
      <c r="A1350" s="77" t="s">
        <v>5151</v>
      </c>
      <c r="B1350" s="76" t="s">
        <v>10944</v>
      </c>
    </row>
    <row r="1351" spans="1:2" ht="15">
      <c r="A1351" s="77" t="s">
        <v>5152</v>
      </c>
      <c r="B1351" s="76" t="s">
        <v>10944</v>
      </c>
    </row>
    <row r="1352" spans="1:2" ht="15">
      <c r="A1352" s="77" t="s">
        <v>5153</v>
      </c>
      <c r="B1352" s="76" t="s">
        <v>10944</v>
      </c>
    </row>
    <row r="1353" spans="1:2" ht="15">
      <c r="A1353" s="77" t="s">
        <v>5154</v>
      </c>
      <c r="B1353" s="76" t="s">
        <v>10944</v>
      </c>
    </row>
    <row r="1354" spans="1:2" ht="15">
      <c r="A1354" s="77" t="s">
        <v>5155</v>
      </c>
      <c r="B1354" s="76" t="s">
        <v>10944</v>
      </c>
    </row>
    <row r="1355" spans="1:2" ht="15">
      <c r="A1355" s="77" t="s">
        <v>5156</v>
      </c>
      <c r="B1355" s="76" t="s">
        <v>10944</v>
      </c>
    </row>
    <row r="1356" spans="1:2" ht="15">
      <c r="A1356" s="77" t="s">
        <v>5157</v>
      </c>
      <c r="B1356" s="76" t="s">
        <v>10944</v>
      </c>
    </row>
    <row r="1357" spans="1:2" ht="15">
      <c r="A1357" s="77" t="s">
        <v>5158</v>
      </c>
      <c r="B1357" s="76" t="s">
        <v>10944</v>
      </c>
    </row>
    <row r="1358" spans="1:2" ht="15">
      <c r="A1358" s="77" t="s">
        <v>5159</v>
      </c>
      <c r="B1358" s="76" t="s">
        <v>10944</v>
      </c>
    </row>
    <row r="1359" spans="1:2" ht="15">
      <c r="A1359" s="77" t="s">
        <v>2839</v>
      </c>
      <c r="B1359" s="76" t="s">
        <v>10944</v>
      </c>
    </row>
    <row r="1360" spans="1:2" ht="15">
      <c r="A1360" s="77" t="s">
        <v>3666</v>
      </c>
      <c r="B1360" s="76" t="s">
        <v>10944</v>
      </c>
    </row>
    <row r="1361" spans="1:2" ht="15">
      <c r="A1361" s="77" t="s">
        <v>2507</v>
      </c>
      <c r="B1361" s="76" t="s">
        <v>10944</v>
      </c>
    </row>
    <row r="1362" spans="1:2" ht="15">
      <c r="A1362" s="77" t="s">
        <v>5160</v>
      </c>
      <c r="B1362" s="76" t="s">
        <v>10944</v>
      </c>
    </row>
    <row r="1363" spans="1:2" ht="15">
      <c r="A1363" s="77" t="s">
        <v>5161</v>
      </c>
      <c r="B1363" s="76" t="s">
        <v>10944</v>
      </c>
    </row>
    <row r="1364" spans="1:2" ht="15">
      <c r="A1364" s="77" t="s">
        <v>5162</v>
      </c>
      <c r="B1364" s="76" t="s">
        <v>10944</v>
      </c>
    </row>
    <row r="1365" spans="1:2" ht="15">
      <c r="A1365" s="77" t="s">
        <v>5163</v>
      </c>
      <c r="B1365" s="76" t="s">
        <v>10944</v>
      </c>
    </row>
    <row r="1366" spans="1:2" ht="15">
      <c r="A1366" s="77" t="s">
        <v>5164</v>
      </c>
      <c r="B1366" s="76" t="s">
        <v>10944</v>
      </c>
    </row>
    <row r="1367" spans="1:2" ht="15">
      <c r="A1367" s="77" t="s">
        <v>5165</v>
      </c>
      <c r="B1367" s="76" t="s">
        <v>10944</v>
      </c>
    </row>
    <row r="1368" spans="1:2" ht="15">
      <c r="A1368" s="77" t="s">
        <v>5166</v>
      </c>
      <c r="B1368" s="76" t="s">
        <v>10944</v>
      </c>
    </row>
    <row r="1369" spans="1:2" ht="15">
      <c r="A1369" s="77" t="s">
        <v>5167</v>
      </c>
      <c r="B1369" s="76" t="s">
        <v>10944</v>
      </c>
    </row>
    <row r="1370" spans="1:2" ht="15">
      <c r="A1370" s="77" t="s">
        <v>5168</v>
      </c>
      <c r="B1370" s="76" t="s">
        <v>10944</v>
      </c>
    </row>
    <row r="1371" spans="1:2" ht="15">
      <c r="A1371" s="77" t="s">
        <v>5169</v>
      </c>
      <c r="B1371" s="76" t="s">
        <v>10944</v>
      </c>
    </row>
    <row r="1372" spans="1:2" ht="15">
      <c r="A1372" s="77" t="s">
        <v>5170</v>
      </c>
      <c r="B1372" s="76" t="s">
        <v>10944</v>
      </c>
    </row>
    <row r="1373" spans="1:2" ht="15">
      <c r="A1373" s="77" t="s">
        <v>5171</v>
      </c>
      <c r="B1373" s="76" t="s">
        <v>10944</v>
      </c>
    </row>
    <row r="1374" spans="1:2" ht="15">
      <c r="A1374" s="77" t="s">
        <v>5172</v>
      </c>
      <c r="B1374" s="76" t="s">
        <v>10944</v>
      </c>
    </row>
    <row r="1375" spans="1:2" ht="15">
      <c r="A1375" s="77" t="s">
        <v>5173</v>
      </c>
      <c r="B1375" s="76" t="s">
        <v>10944</v>
      </c>
    </row>
    <row r="1376" spans="1:2" ht="15">
      <c r="A1376" s="77" t="s">
        <v>5174</v>
      </c>
      <c r="B1376" s="76" t="s">
        <v>10944</v>
      </c>
    </row>
    <row r="1377" spans="1:2" ht="15">
      <c r="A1377" s="77" t="s">
        <v>5175</v>
      </c>
      <c r="B1377" s="76" t="s">
        <v>10944</v>
      </c>
    </row>
    <row r="1378" spans="1:2" ht="15">
      <c r="A1378" s="77" t="s">
        <v>5176</v>
      </c>
      <c r="B1378" s="76" t="s">
        <v>10944</v>
      </c>
    </row>
    <row r="1379" spans="1:2" ht="15">
      <c r="A1379" s="77" t="s">
        <v>5177</v>
      </c>
      <c r="B1379" s="76" t="s">
        <v>10944</v>
      </c>
    </row>
    <row r="1380" spans="1:2" ht="15">
      <c r="A1380" s="77" t="s">
        <v>5178</v>
      </c>
      <c r="B1380" s="76" t="s">
        <v>10944</v>
      </c>
    </row>
    <row r="1381" spans="1:2" ht="15">
      <c r="A1381" s="77" t="s">
        <v>5179</v>
      </c>
      <c r="B1381" s="76" t="s">
        <v>10944</v>
      </c>
    </row>
    <row r="1382" spans="1:2" ht="15">
      <c r="A1382" s="77" t="s">
        <v>5180</v>
      </c>
      <c r="B1382" s="76" t="s">
        <v>10944</v>
      </c>
    </row>
    <row r="1383" spans="1:2" ht="15">
      <c r="A1383" s="77" t="s">
        <v>5181</v>
      </c>
      <c r="B1383" s="76" t="s">
        <v>10944</v>
      </c>
    </row>
    <row r="1384" spans="1:2" ht="15">
      <c r="A1384" s="77" t="s">
        <v>5182</v>
      </c>
      <c r="B1384" s="76" t="s">
        <v>10944</v>
      </c>
    </row>
    <row r="1385" spans="1:2" ht="15">
      <c r="A1385" s="77" t="s">
        <v>5183</v>
      </c>
      <c r="B1385" s="76" t="s">
        <v>10944</v>
      </c>
    </row>
    <row r="1386" spans="1:2" ht="15">
      <c r="A1386" s="77" t="s">
        <v>5184</v>
      </c>
      <c r="B1386" s="76" t="s">
        <v>10944</v>
      </c>
    </row>
    <row r="1387" spans="1:2" ht="15">
      <c r="A1387" s="77" t="s">
        <v>5185</v>
      </c>
      <c r="B1387" s="76" t="s">
        <v>10944</v>
      </c>
    </row>
    <row r="1388" spans="1:2" ht="15">
      <c r="A1388" s="77" t="s">
        <v>5186</v>
      </c>
      <c r="B1388" s="76" t="s">
        <v>10944</v>
      </c>
    </row>
    <row r="1389" spans="1:2" ht="15">
      <c r="A1389" s="77" t="s">
        <v>5187</v>
      </c>
      <c r="B1389" s="76" t="s">
        <v>10944</v>
      </c>
    </row>
    <row r="1390" spans="1:2" ht="15">
      <c r="A1390" s="77" t="s">
        <v>5188</v>
      </c>
      <c r="B1390" s="76" t="s">
        <v>10944</v>
      </c>
    </row>
    <row r="1391" spans="1:2" ht="15">
      <c r="A1391" s="77" t="s">
        <v>5189</v>
      </c>
      <c r="B1391" s="76" t="s">
        <v>10944</v>
      </c>
    </row>
    <row r="1392" spans="1:2" ht="15">
      <c r="A1392" s="77" t="s">
        <v>5190</v>
      </c>
      <c r="B1392" s="76" t="s">
        <v>10944</v>
      </c>
    </row>
    <row r="1393" spans="1:2" ht="15">
      <c r="A1393" s="77" t="s">
        <v>5191</v>
      </c>
      <c r="B1393" s="76" t="s">
        <v>10944</v>
      </c>
    </row>
    <row r="1394" spans="1:2" ht="15">
      <c r="A1394" s="77" t="s">
        <v>5192</v>
      </c>
      <c r="B1394" s="76" t="s">
        <v>10944</v>
      </c>
    </row>
    <row r="1395" spans="1:2" ht="15">
      <c r="A1395" s="77" t="s">
        <v>5193</v>
      </c>
      <c r="B1395" s="76" t="s">
        <v>10944</v>
      </c>
    </row>
    <row r="1396" spans="1:2" ht="15">
      <c r="A1396" s="77" t="s">
        <v>5194</v>
      </c>
      <c r="B1396" s="76" t="s">
        <v>10944</v>
      </c>
    </row>
    <row r="1397" spans="1:2" ht="15">
      <c r="A1397" s="77" t="s">
        <v>5195</v>
      </c>
      <c r="B1397" s="76" t="s">
        <v>10944</v>
      </c>
    </row>
    <row r="1398" spans="1:2" ht="15">
      <c r="A1398" s="77" t="s">
        <v>5196</v>
      </c>
      <c r="B1398" s="76" t="s">
        <v>10944</v>
      </c>
    </row>
    <row r="1399" spans="1:2" ht="15">
      <c r="A1399" s="77" t="s">
        <v>5197</v>
      </c>
      <c r="B1399" s="76" t="s">
        <v>10944</v>
      </c>
    </row>
    <row r="1400" spans="1:2" ht="15">
      <c r="A1400" s="77" t="s">
        <v>5198</v>
      </c>
      <c r="B1400" s="76" t="s">
        <v>10944</v>
      </c>
    </row>
    <row r="1401" spans="1:2" ht="15">
      <c r="A1401" s="77" t="s">
        <v>5199</v>
      </c>
      <c r="B1401" s="76" t="s">
        <v>10944</v>
      </c>
    </row>
    <row r="1402" spans="1:2" ht="15">
      <c r="A1402" s="77" t="s">
        <v>5200</v>
      </c>
      <c r="B1402" s="76" t="s">
        <v>10944</v>
      </c>
    </row>
    <row r="1403" spans="1:2" ht="15">
      <c r="A1403" s="77" t="s">
        <v>5201</v>
      </c>
      <c r="B1403" s="76" t="s">
        <v>10944</v>
      </c>
    </row>
    <row r="1404" spans="1:2" ht="15">
      <c r="A1404" s="77" t="s">
        <v>5202</v>
      </c>
      <c r="B1404" s="76" t="s">
        <v>10944</v>
      </c>
    </row>
    <row r="1405" spans="1:2" ht="15">
      <c r="A1405" s="77" t="s">
        <v>5203</v>
      </c>
      <c r="B1405" s="76" t="s">
        <v>10944</v>
      </c>
    </row>
    <row r="1406" spans="1:2" ht="15">
      <c r="A1406" s="77" t="s">
        <v>5204</v>
      </c>
      <c r="B1406" s="76" t="s">
        <v>10944</v>
      </c>
    </row>
    <row r="1407" spans="1:2" ht="15">
      <c r="A1407" s="77" t="s">
        <v>5205</v>
      </c>
      <c r="B1407" s="76" t="s">
        <v>10944</v>
      </c>
    </row>
    <row r="1408" spans="1:2" ht="15">
      <c r="A1408" s="77" t="s">
        <v>5206</v>
      </c>
      <c r="B1408" s="76" t="s">
        <v>10944</v>
      </c>
    </row>
    <row r="1409" spans="1:2" ht="15">
      <c r="A1409" s="77" t="s">
        <v>5207</v>
      </c>
      <c r="B1409" s="76" t="s">
        <v>10944</v>
      </c>
    </row>
    <row r="1410" spans="1:2" ht="15">
      <c r="A1410" s="77" t="s">
        <v>5208</v>
      </c>
      <c r="B1410" s="76" t="s">
        <v>10944</v>
      </c>
    </row>
    <row r="1411" spans="1:2" ht="15">
      <c r="A1411" s="77" t="s">
        <v>5209</v>
      </c>
      <c r="B1411" s="76" t="s">
        <v>10944</v>
      </c>
    </row>
    <row r="1412" spans="1:2" ht="15">
      <c r="A1412" s="77" t="s">
        <v>5210</v>
      </c>
      <c r="B1412" s="76" t="s">
        <v>10944</v>
      </c>
    </row>
    <row r="1413" spans="1:2" ht="15">
      <c r="A1413" s="77" t="s">
        <v>5211</v>
      </c>
      <c r="B1413" s="76" t="s">
        <v>10944</v>
      </c>
    </row>
    <row r="1414" spans="1:2" ht="15">
      <c r="A1414" s="77" t="s">
        <v>5212</v>
      </c>
      <c r="B1414" s="76" t="s">
        <v>10944</v>
      </c>
    </row>
    <row r="1415" spans="1:2" ht="15">
      <c r="A1415" s="77" t="s">
        <v>5213</v>
      </c>
      <c r="B1415" s="76" t="s">
        <v>10944</v>
      </c>
    </row>
    <row r="1416" spans="1:2" ht="15">
      <c r="A1416" s="77" t="s">
        <v>5214</v>
      </c>
      <c r="B1416" s="76" t="s">
        <v>10944</v>
      </c>
    </row>
    <row r="1417" spans="1:2" ht="15">
      <c r="A1417" s="77" t="s">
        <v>5215</v>
      </c>
      <c r="B1417" s="76" t="s">
        <v>10944</v>
      </c>
    </row>
    <row r="1418" spans="1:2" ht="15">
      <c r="A1418" s="77" t="s">
        <v>5216</v>
      </c>
      <c r="B1418" s="76" t="s">
        <v>10944</v>
      </c>
    </row>
    <row r="1419" spans="1:2" ht="15">
      <c r="A1419" s="77" t="s">
        <v>5217</v>
      </c>
      <c r="B1419" s="76" t="s">
        <v>10944</v>
      </c>
    </row>
    <row r="1420" spans="1:2" ht="15">
      <c r="A1420" s="77" t="s">
        <v>5218</v>
      </c>
      <c r="B1420" s="76" t="s">
        <v>10944</v>
      </c>
    </row>
    <row r="1421" spans="1:2" ht="15">
      <c r="A1421" s="77" t="s">
        <v>5219</v>
      </c>
      <c r="B1421" s="76" t="s">
        <v>10944</v>
      </c>
    </row>
    <row r="1422" spans="1:2" ht="15">
      <c r="A1422" s="77" t="s">
        <v>5220</v>
      </c>
      <c r="B1422" s="76" t="s">
        <v>10944</v>
      </c>
    </row>
    <row r="1423" spans="1:2" ht="15">
      <c r="A1423" s="77" t="s">
        <v>5221</v>
      </c>
      <c r="B1423" s="76" t="s">
        <v>10944</v>
      </c>
    </row>
    <row r="1424" spans="1:2" ht="15">
      <c r="A1424" s="77" t="s">
        <v>5222</v>
      </c>
      <c r="B1424" s="76" t="s">
        <v>10944</v>
      </c>
    </row>
    <row r="1425" spans="1:2" ht="15">
      <c r="A1425" s="77" t="s">
        <v>3330</v>
      </c>
      <c r="B1425" s="76" t="s">
        <v>10944</v>
      </c>
    </row>
    <row r="1426" spans="1:2" ht="15">
      <c r="A1426" s="77" t="s">
        <v>5223</v>
      </c>
      <c r="B1426" s="76" t="s">
        <v>10944</v>
      </c>
    </row>
    <row r="1427" spans="1:2" ht="15">
      <c r="A1427" s="77" t="s">
        <v>5224</v>
      </c>
      <c r="B1427" s="76" t="s">
        <v>10944</v>
      </c>
    </row>
    <row r="1428" spans="1:2" ht="15">
      <c r="A1428" s="77" t="s">
        <v>5225</v>
      </c>
      <c r="B1428" s="76" t="s">
        <v>10944</v>
      </c>
    </row>
    <row r="1429" spans="1:2" ht="15">
      <c r="A1429" s="77" t="s">
        <v>5226</v>
      </c>
      <c r="B1429" s="76" t="s">
        <v>10944</v>
      </c>
    </row>
    <row r="1430" spans="1:2" ht="15">
      <c r="A1430" s="77" t="s">
        <v>5227</v>
      </c>
      <c r="B1430" s="76" t="s">
        <v>10944</v>
      </c>
    </row>
    <row r="1431" spans="1:2" ht="15">
      <c r="A1431" s="77" t="s">
        <v>5228</v>
      </c>
      <c r="B1431" s="76" t="s">
        <v>10944</v>
      </c>
    </row>
    <row r="1432" spans="1:2" ht="15">
      <c r="A1432" s="77" t="s">
        <v>5229</v>
      </c>
      <c r="B1432" s="76" t="s">
        <v>10944</v>
      </c>
    </row>
    <row r="1433" spans="1:2" ht="15">
      <c r="A1433" s="77" t="s">
        <v>3365</v>
      </c>
      <c r="B1433" s="76" t="s">
        <v>10944</v>
      </c>
    </row>
    <row r="1434" spans="1:2" ht="15">
      <c r="A1434" s="77" t="s">
        <v>5230</v>
      </c>
      <c r="B1434" s="76" t="s">
        <v>10944</v>
      </c>
    </row>
    <row r="1435" spans="1:2" ht="15">
      <c r="A1435" s="77" t="s">
        <v>5231</v>
      </c>
      <c r="B1435" s="76" t="s">
        <v>10944</v>
      </c>
    </row>
    <row r="1436" spans="1:2" ht="15">
      <c r="A1436" s="77" t="s">
        <v>3368</v>
      </c>
      <c r="B1436" s="76" t="s">
        <v>10944</v>
      </c>
    </row>
    <row r="1437" spans="1:2" ht="15">
      <c r="A1437" s="77" t="s">
        <v>5232</v>
      </c>
      <c r="B1437" s="76" t="s">
        <v>10944</v>
      </c>
    </row>
    <row r="1438" spans="1:2" ht="15">
      <c r="A1438" s="77" t="s">
        <v>5233</v>
      </c>
      <c r="B1438" s="76" t="s">
        <v>10944</v>
      </c>
    </row>
    <row r="1439" spans="1:2" ht="15">
      <c r="A1439" s="77" t="s">
        <v>5234</v>
      </c>
      <c r="B1439" s="76" t="s">
        <v>10944</v>
      </c>
    </row>
    <row r="1440" spans="1:2" ht="15">
      <c r="A1440" s="77" t="s">
        <v>5235</v>
      </c>
      <c r="B1440" s="76" t="s">
        <v>10944</v>
      </c>
    </row>
    <row r="1441" spans="1:2" ht="15">
      <c r="A1441" s="77" t="s">
        <v>5236</v>
      </c>
      <c r="B1441" s="76" t="s">
        <v>10944</v>
      </c>
    </row>
    <row r="1442" spans="1:2" ht="15">
      <c r="A1442" s="77" t="s">
        <v>5237</v>
      </c>
      <c r="B1442" s="76" t="s">
        <v>10944</v>
      </c>
    </row>
    <row r="1443" spans="1:2" ht="15">
      <c r="A1443" s="77" t="s">
        <v>5238</v>
      </c>
      <c r="B1443" s="76" t="s">
        <v>10944</v>
      </c>
    </row>
    <row r="1444" spans="1:2" ht="15">
      <c r="A1444" s="77" t="s">
        <v>5239</v>
      </c>
      <c r="B1444" s="76" t="s">
        <v>10944</v>
      </c>
    </row>
    <row r="1445" spans="1:2" ht="15">
      <c r="A1445" s="77" t="s">
        <v>5240</v>
      </c>
      <c r="B1445" s="76" t="s">
        <v>10944</v>
      </c>
    </row>
    <row r="1446" spans="1:2" ht="15">
      <c r="A1446" s="77" t="s">
        <v>5241</v>
      </c>
      <c r="B1446" s="76" t="s">
        <v>10944</v>
      </c>
    </row>
    <row r="1447" spans="1:2" ht="15">
      <c r="A1447" s="77" t="s">
        <v>5242</v>
      </c>
      <c r="B1447" s="76" t="s">
        <v>10944</v>
      </c>
    </row>
    <row r="1448" spans="1:2" ht="15">
      <c r="A1448" s="77" t="s">
        <v>5243</v>
      </c>
      <c r="B1448" s="76" t="s">
        <v>10944</v>
      </c>
    </row>
    <row r="1449" spans="1:2" ht="15">
      <c r="A1449" s="77" t="s">
        <v>5244</v>
      </c>
      <c r="B1449" s="76" t="s">
        <v>10944</v>
      </c>
    </row>
    <row r="1450" spans="1:2" ht="15">
      <c r="A1450" s="77" t="s">
        <v>5245</v>
      </c>
      <c r="B1450" s="76" t="s">
        <v>10944</v>
      </c>
    </row>
    <row r="1451" spans="1:2" ht="15">
      <c r="A1451" s="77" t="s">
        <v>5246</v>
      </c>
      <c r="B1451" s="76" t="s">
        <v>10944</v>
      </c>
    </row>
    <row r="1452" spans="1:2" ht="15">
      <c r="A1452" s="77" t="s">
        <v>5247</v>
      </c>
      <c r="B1452" s="76" t="s">
        <v>10944</v>
      </c>
    </row>
    <row r="1453" spans="1:2" ht="15">
      <c r="A1453" s="77" t="s">
        <v>5248</v>
      </c>
      <c r="B1453" s="76" t="s">
        <v>10944</v>
      </c>
    </row>
    <row r="1454" spans="1:2" ht="15">
      <c r="A1454" s="77" t="s">
        <v>5249</v>
      </c>
      <c r="B1454" s="76" t="s">
        <v>10944</v>
      </c>
    </row>
    <row r="1455" spans="1:2" ht="15">
      <c r="A1455" s="77" t="s">
        <v>5250</v>
      </c>
      <c r="B1455" s="76" t="s">
        <v>10944</v>
      </c>
    </row>
    <row r="1456" spans="1:2" ht="15">
      <c r="A1456" s="77" t="s">
        <v>5251</v>
      </c>
      <c r="B1456" s="76" t="s">
        <v>10944</v>
      </c>
    </row>
    <row r="1457" spans="1:2" ht="15">
      <c r="A1457" s="77" t="s">
        <v>5252</v>
      </c>
      <c r="B1457" s="76" t="s">
        <v>10944</v>
      </c>
    </row>
    <row r="1458" spans="1:2" ht="15">
      <c r="A1458" s="77" t="s">
        <v>5253</v>
      </c>
      <c r="B1458" s="76" t="s">
        <v>10944</v>
      </c>
    </row>
    <row r="1459" spans="1:2" ht="15">
      <c r="A1459" s="77" t="s">
        <v>5254</v>
      </c>
      <c r="B1459" s="76" t="s">
        <v>10944</v>
      </c>
    </row>
    <row r="1460" spans="1:2" ht="15">
      <c r="A1460" s="77" t="s">
        <v>5255</v>
      </c>
      <c r="B1460" s="76" t="s">
        <v>10944</v>
      </c>
    </row>
    <row r="1461" spans="1:2" ht="15">
      <c r="A1461" s="77" t="s">
        <v>5256</v>
      </c>
      <c r="B1461" s="76" t="s">
        <v>10944</v>
      </c>
    </row>
    <row r="1462" spans="1:2" ht="15">
      <c r="A1462" s="77" t="s">
        <v>5257</v>
      </c>
      <c r="B1462" s="76" t="s">
        <v>10944</v>
      </c>
    </row>
    <row r="1463" spans="1:2" ht="15">
      <c r="A1463" s="77" t="s">
        <v>5258</v>
      </c>
      <c r="B1463" s="76" t="s">
        <v>10944</v>
      </c>
    </row>
    <row r="1464" spans="1:2" ht="15">
      <c r="A1464" s="77" t="s">
        <v>5259</v>
      </c>
      <c r="B1464" s="76" t="s">
        <v>10944</v>
      </c>
    </row>
    <row r="1465" spans="1:2" ht="15">
      <c r="A1465" s="77" t="s">
        <v>5260</v>
      </c>
      <c r="B1465" s="76" t="s">
        <v>10944</v>
      </c>
    </row>
    <row r="1466" spans="1:2" ht="15">
      <c r="A1466" s="77" t="s">
        <v>5261</v>
      </c>
      <c r="B1466" s="76" t="s">
        <v>10944</v>
      </c>
    </row>
    <row r="1467" spans="1:2" ht="15">
      <c r="A1467" s="77" t="s">
        <v>5262</v>
      </c>
      <c r="B1467" s="76" t="s">
        <v>10944</v>
      </c>
    </row>
    <row r="1468" spans="1:2" ht="15">
      <c r="A1468" s="77" t="s">
        <v>5263</v>
      </c>
      <c r="B1468" s="76" t="s">
        <v>10944</v>
      </c>
    </row>
    <row r="1469" spans="1:2" ht="15">
      <c r="A1469" s="77" t="s">
        <v>5264</v>
      </c>
      <c r="B1469" s="76" t="s">
        <v>10944</v>
      </c>
    </row>
    <row r="1470" spans="1:2" ht="15">
      <c r="A1470" s="77" t="s">
        <v>5265</v>
      </c>
      <c r="B1470" s="76" t="s">
        <v>10944</v>
      </c>
    </row>
    <row r="1471" spans="1:2" ht="15">
      <c r="A1471" s="77" t="s">
        <v>5266</v>
      </c>
      <c r="B1471" s="76" t="s">
        <v>10944</v>
      </c>
    </row>
    <row r="1472" spans="1:2" ht="15">
      <c r="A1472" s="77" t="s">
        <v>5267</v>
      </c>
      <c r="B1472" s="76" t="s">
        <v>10944</v>
      </c>
    </row>
    <row r="1473" spans="1:2" ht="15">
      <c r="A1473" s="77" t="s">
        <v>5268</v>
      </c>
      <c r="B1473" s="76" t="s">
        <v>10944</v>
      </c>
    </row>
    <row r="1474" spans="1:2" ht="15">
      <c r="A1474" s="77" t="s">
        <v>5269</v>
      </c>
      <c r="B1474" s="76" t="s">
        <v>10944</v>
      </c>
    </row>
    <row r="1475" spans="1:2" ht="15">
      <c r="A1475" s="77" t="s">
        <v>5270</v>
      </c>
      <c r="B1475" s="76" t="s">
        <v>10944</v>
      </c>
    </row>
    <row r="1476" spans="1:2" ht="15">
      <c r="A1476" s="77" t="s">
        <v>5271</v>
      </c>
      <c r="B1476" s="76" t="s">
        <v>10944</v>
      </c>
    </row>
    <row r="1477" spans="1:2" ht="15">
      <c r="A1477" s="77" t="s">
        <v>5272</v>
      </c>
      <c r="B1477" s="76" t="s">
        <v>10944</v>
      </c>
    </row>
    <row r="1478" spans="1:2" ht="15">
      <c r="A1478" s="77" t="s">
        <v>5273</v>
      </c>
      <c r="B1478" s="76" t="s">
        <v>10944</v>
      </c>
    </row>
    <row r="1479" spans="1:2" ht="15">
      <c r="A1479" s="77" t="s">
        <v>5274</v>
      </c>
      <c r="B1479" s="76" t="s">
        <v>10944</v>
      </c>
    </row>
    <row r="1480" spans="1:2" ht="15">
      <c r="A1480" s="77" t="s">
        <v>5275</v>
      </c>
      <c r="B1480" s="76" t="s">
        <v>10944</v>
      </c>
    </row>
    <row r="1481" spans="1:2" ht="15">
      <c r="A1481" s="77" t="s">
        <v>5276</v>
      </c>
      <c r="B1481" s="76" t="s">
        <v>10944</v>
      </c>
    </row>
    <row r="1482" spans="1:2" ht="15">
      <c r="A1482" s="77" t="s">
        <v>5277</v>
      </c>
      <c r="B1482" s="76" t="s">
        <v>10944</v>
      </c>
    </row>
    <row r="1483" spans="1:2" ht="15">
      <c r="A1483" s="77" t="s">
        <v>5278</v>
      </c>
      <c r="B1483" s="76" t="s">
        <v>10944</v>
      </c>
    </row>
    <row r="1484" spans="1:2" ht="15">
      <c r="A1484" s="77" t="s">
        <v>5279</v>
      </c>
      <c r="B1484" s="76" t="s">
        <v>10944</v>
      </c>
    </row>
    <row r="1485" spans="1:2" ht="15">
      <c r="A1485" s="77" t="s">
        <v>5280</v>
      </c>
      <c r="B1485" s="76" t="s">
        <v>10944</v>
      </c>
    </row>
    <row r="1486" spans="1:2" ht="15">
      <c r="A1486" s="77" t="s">
        <v>5281</v>
      </c>
      <c r="B1486" s="76" t="s">
        <v>10944</v>
      </c>
    </row>
    <row r="1487" spans="1:2" ht="15">
      <c r="A1487" s="77" t="s">
        <v>5282</v>
      </c>
      <c r="B1487" s="76" t="s">
        <v>10944</v>
      </c>
    </row>
    <row r="1488" spans="1:2" ht="15">
      <c r="A1488" s="77" t="s">
        <v>5283</v>
      </c>
      <c r="B1488" s="76" t="s">
        <v>10944</v>
      </c>
    </row>
    <row r="1489" spans="1:2" ht="15">
      <c r="A1489" s="77" t="s">
        <v>5284</v>
      </c>
      <c r="B1489" s="76" t="s">
        <v>10944</v>
      </c>
    </row>
    <row r="1490" spans="1:2" ht="15">
      <c r="A1490" s="77" t="s">
        <v>5285</v>
      </c>
      <c r="B1490" s="76" t="s">
        <v>10944</v>
      </c>
    </row>
    <row r="1491" spans="1:2" ht="15">
      <c r="A1491" s="77" t="s">
        <v>5286</v>
      </c>
      <c r="B1491" s="76" t="s">
        <v>10944</v>
      </c>
    </row>
    <row r="1492" spans="1:2" ht="15">
      <c r="A1492" s="77" t="s">
        <v>5287</v>
      </c>
      <c r="B1492" s="76" t="s">
        <v>10944</v>
      </c>
    </row>
    <row r="1493" spans="1:2" ht="15">
      <c r="A1493" s="77" t="s">
        <v>2861</v>
      </c>
      <c r="B1493" s="76" t="s">
        <v>10944</v>
      </c>
    </row>
    <row r="1494" spans="1:2" ht="15">
      <c r="A1494" s="77" t="s">
        <v>5288</v>
      </c>
      <c r="B1494" s="76" t="s">
        <v>10944</v>
      </c>
    </row>
    <row r="1495" spans="1:2" ht="15">
      <c r="A1495" s="77" t="s">
        <v>5289</v>
      </c>
      <c r="B1495" s="76" t="s">
        <v>10944</v>
      </c>
    </row>
    <row r="1496" spans="1:2" ht="15">
      <c r="A1496" s="77" t="s">
        <v>5290</v>
      </c>
      <c r="B1496" s="76" t="s">
        <v>10944</v>
      </c>
    </row>
    <row r="1497" spans="1:2" ht="15">
      <c r="A1497" s="77" t="s">
        <v>5291</v>
      </c>
      <c r="B1497" s="76" t="s">
        <v>10944</v>
      </c>
    </row>
    <row r="1498" spans="1:2" ht="15">
      <c r="A1498" s="77" t="s">
        <v>5292</v>
      </c>
      <c r="B1498" s="76" t="s">
        <v>10944</v>
      </c>
    </row>
    <row r="1499" spans="1:2" ht="15">
      <c r="A1499" s="77" t="s">
        <v>5293</v>
      </c>
      <c r="B1499" s="76" t="s">
        <v>10944</v>
      </c>
    </row>
    <row r="1500" spans="1:2" ht="15">
      <c r="A1500" s="77" t="s">
        <v>5294</v>
      </c>
      <c r="B1500" s="76" t="s">
        <v>10944</v>
      </c>
    </row>
    <row r="1501" spans="1:2" ht="15">
      <c r="A1501" s="77" t="s">
        <v>5295</v>
      </c>
      <c r="B1501" s="76" t="s">
        <v>10944</v>
      </c>
    </row>
    <row r="1502" spans="1:2" ht="15">
      <c r="A1502" s="77" t="s">
        <v>5296</v>
      </c>
      <c r="B1502" s="76" t="s">
        <v>10944</v>
      </c>
    </row>
    <row r="1503" spans="1:2" ht="15">
      <c r="A1503" s="77" t="s">
        <v>5297</v>
      </c>
      <c r="B1503" s="76" t="s">
        <v>10944</v>
      </c>
    </row>
    <row r="1504" spans="1:2" ht="15">
      <c r="A1504" s="77" t="s">
        <v>5298</v>
      </c>
      <c r="B1504" s="76" t="s">
        <v>10944</v>
      </c>
    </row>
    <row r="1505" spans="1:2" ht="15">
      <c r="A1505" s="77" t="s">
        <v>5299</v>
      </c>
      <c r="B1505" s="76" t="s">
        <v>10944</v>
      </c>
    </row>
    <row r="1506" spans="1:2" ht="15">
      <c r="A1506" s="77" t="s">
        <v>5300</v>
      </c>
      <c r="B1506" s="76" t="s">
        <v>10944</v>
      </c>
    </row>
    <row r="1507" spans="1:2" ht="15">
      <c r="A1507" s="77" t="s">
        <v>5301</v>
      </c>
      <c r="B1507" s="76" t="s">
        <v>10944</v>
      </c>
    </row>
    <row r="1508" spans="1:2" ht="15">
      <c r="A1508" s="77" t="s">
        <v>5302</v>
      </c>
      <c r="B1508" s="76" t="s">
        <v>10944</v>
      </c>
    </row>
    <row r="1509" spans="1:2" ht="15">
      <c r="A1509" s="77" t="s">
        <v>5303</v>
      </c>
      <c r="B1509" s="76" t="s">
        <v>10944</v>
      </c>
    </row>
    <row r="1510" spans="1:2" ht="15">
      <c r="A1510" s="77" t="s">
        <v>5304</v>
      </c>
      <c r="B1510" s="76" t="s">
        <v>10944</v>
      </c>
    </row>
    <row r="1511" spans="1:2" ht="15">
      <c r="A1511" s="77" t="s">
        <v>5305</v>
      </c>
      <c r="B1511" s="76" t="s">
        <v>10944</v>
      </c>
    </row>
    <row r="1512" spans="1:2" ht="15">
      <c r="A1512" s="77" t="s">
        <v>5306</v>
      </c>
      <c r="B1512" s="76" t="s">
        <v>10944</v>
      </c>
    </row>
    <row r="1513" spans="1:2" ht="15">
      <c r="A1513" s="77" t="s">
        <v>5307</v>
      </c>
      <c r="B1513" s="76" t="s">
        <v>10944</v>
      </c>
    </row>
    <row r="1514" spans="1:2" ht="15">
      <c r="A1514" s="77" t="s">
        <v>5308</v>
      </c>
      <c r="B1514" s="76" t="s">
        <v>10944</v>
      </c>
    </row>
    <row r="1515" spans="1:2" ht="15">
      <c r="A1515" s="77" t="s">
        <v>5309</v>
      </c>
      <c r="B1515" s="76" t="s">
        <v>10944</v>
      </c>
    </row>
    <row r="1516" spans="1:2" ht="15">
      <c r="A1516" s="77" t="s">
        <v>5310</v>
      </c>
      <c r="B1516" s="76" t="s">
        <v>10944</v>
      </c>
    </row>
    <row r="1517" spans="1:2" ht="15">
      <c r="A1517" s="77" t="s">
        <v>5311</v>
      </c>
      <c r="B1517" s="76" t="s">
        <v>10944</v>
      </c>
    </row>
    <row r="1518" spans="1:2" ht="15">
      <c r="A1518" s="77" t="s">
        <v>5312</v>
      </c>
      <c r="B1518" s="76" t="s">
        <v>10944</v>
      </c>
    </row>
    <row r="1519" spans="1:2" ht="15">
      <c r="A1519" s="77" t="s">
        <v>5313</v>
      </c>
      <c r="B1519" s="76" t="s">
        <v>10944</v>
      </c>
    </row>
    <row r="1520" spans="1:2" ht="15">
      <c r="A1520" s="77" t="s">
        <v>5314</v>
      </c>
      <c r="B1520" s="76" t="s">
        <v>10944</v>
      </c>
    </row>
    <row r="1521" spans="1:2" ht="15">
      <c r="A1521" s="77" t="s">
        <v>5315</v>
      </c>
      <c r="B1521" s="76" t="s">
        <v>10944</v>
      </c>
    </row>
    <row r="1522" spans="1:2" ht="15">
      <c r="A1522" s="77" t="s">
        <v>5316</v>
      </c>
      <c r="B1522" s="76" t="s">
        <v>10944</v>
      </c>
    </row>
    <row r="1523" spans="1:2" ht="15">
      <c r="A1523" s="77" t="s">
        <v>5317</v>
      </c>
      <c r="B1523" s="76" t="s">
        <v>10944</v>
      </c>
    </row>
    <row r="1524" spans="1:2" ht="15">
      <c r="A1524" s="77" t="s">
        <v>5318</v>
      </c>
      <c r="B1524" s="76" t="s">
        <v>10944</v>
      </c>
    </row>
    <row r="1525" spans="1:2" ht="15">
      <c r="A1525" s="77" t="s">
        <v>5319</v>
      </c>
      <c r="B1525" s="76" t="s">
        <v>10944</v>
      </c>
    </row>
    <row r="1526" spans="1:2" ht="15">
      <c r="A1526" s="77" t="s">
        <v>5320</v>
      </c>
      <c r="B1526" s="76" t="s">
        <v>10944</v>
      </c>
    </row>
    <row r="1527" spans="1:2" ht="15">
      <c r="A1527" s="77" t="s">
        <v>5321</v>
      </c>
      <c r="B1527" s="76" t="s">
        <v>10944</v>
      </c>
    </row>
    <row r="1528" spans="1:2" ht="15">
      <c r="A1528" s="77" t="s">
        <v>5322</v>
      </c>
      <c r="B1528" s="76" t="s">
        <v>10944</v>
      </c>
    </row>
    <row r="1529" spans="1:2" ht="15">
      <c r="A1529" s="77" t="s">
        <v>5323</v>
      </c>
      <c r="B1529" s="76" t="s">
        <v>10944</v>
      </c>
    </row>
    <row r="1530" spans="1:2" ht="15">
      <c r="A1530" s="77" t="s">
        <v>5324</v>
      </c>
      <c r="B1530" s="76" t="s">
        <v>10944</v>
      </c>
    </row>
    <row r="1531" spans="1:2" ht="15">
      <c r="A1531" s="77" t="s">
        <v>5325</v>
      </c>
      <c r="B1531" s="76" t="s">
        <v>10944</v>
      </c>
    </row>
    <row r="1532" spans="1:2" ht="15">
      <c r="A1532" s="77" t="s">
        <v>5326</v>
      </c>
      <c r="B1532" s="76" t="s">
        <v>10944</v>
      </c>
    </row>
    <row r="1533" spans="1:2" ht="15">
      <c r="A1533" s="77" t="s">
        <v>5327</v>
      </c>
      <c r="B1533" s="76" t="s">
        <v>10944</v>
      </c>
    </row>
    <row r="1534" spans="1:2" ht="15">
      <c r="A1534" s="77" t="s">
        <v>5328</v>
      </c>
      <c r="B1534" s="76" t="s">
        <v>10944</v>
      </c>
    </row>
    <row r="1535" spans="1:2" ht="15">
      <c r="A1535" s="77" t="s">
        <v>5329</v>
      </c>
      <c r="B1535" s="76" t="s">
        <v>10944</v>
      </c>
    </row>
    <row r="1536" spans="1:2" ht="15">
      <c r="A1536" s="77" t="s">
        <v>5330</v>
      </c>
      <c r="B1536" s="76" t="s">
        <v>10944</v>
      </c>
    </row>
    <row r="1537" spans="1:2" ht="15">
      <c r="A1537" s="77" t="s">
        <v>5331</v>
      </c>
      <c r="B1537" s="76" t="s">
        <v>10944</v>
      </c>
    </row>
    <row r="1538" spans="1:2" ht="15">
      <c r="A1538" s="77" t="s">
        <v>5332</v>
      </c>
      <c r="B1538" s="76" t="s">
        <v>10944</v>
      </c>
    </row>
    <row r="1539" spans="1:2" ht="15">
      <c r="A1539" s="77" t="s">
        <v>5333</v>
      </c>
      <c r="B1539" s="76" t="s">
        <v>10944</v>
      </c>
    </row>
    <row r="1540" spans="1:2" ht="15">
      <c r="A1540" s="77" t="s">
        <v>5334</v>
      </c>
      <c r="B1540" s="76" t="s">
        <v>10944</v>
      </c>
    </row>
    <row r="1541" spans="1:2" ht="15">
      <c r="A1541" s="77" t="s">
        <v>5335</v>
      </c>
      <c r="B1541" s="76" t="s">
        <v>10944</v>
      </c>
    </row>
    <row r="1542" spans="1:2" ht="15">
      <c r="A1542" s="77" t="s">
        <v>5336</v>
      </c>
      <c r="B1542" s="76" t="s">
        <v>10944</v>
      </c>
    </row>
    <row r="1543" spans="1:2" ht="15">
      <c r="A1543" s="77" t="s">
        <v>5337</v>
      </c>
      <c r="B1543" s="76" t="s">
        <v>10944</v>
      </c>
    </row>
    <row r="1544" spans="1:2" ht="15">
      <c r="A1544" s="77" t="s">
        <v>5338</v>
      </c>
      <c r="B1544" s="76" t="s">
        <v>10944</v>
      </c>
    </row>
    <row r="1545" spans="1:2" ht="15">
      <c r="A1545" s="77" t="s">
        <v>5339</v>
      </c>
      <c r="B1545" s="76" t="s">
        <v>10944</v>
      </c>
    </row>
    <row r="1546" spans="1:2" ht="15">
      <c r="A1546" s="77" t="s">
        <v>5340</v>
      </c>
      <c r="B1546" s="76" t="s">
        <v>10944</v>
      </c>
    </row>
    <row r="1547" spans="1:2" ht="15">
      <c r="A1547" s="77" t="s">
        <v>5341</v>
      </c>
      <c r="B1547" s="76" t="s">
        <v>10944</v>
      </c>
    </row>
    <row r="1548" spans="1:2" ht="15">
      <c r="A1548" s="77" t="s">
        <v>5342</v>
      </c>
      <c r="B1548" s="76" t="s">
        <v>10944</v>
      </c>
    </row>
    <row r="1549" spans="1:2" ht="15">
      <c r="A1549" s="77" t="s">
        <v>5343</v>
      </c>
      <c r="B1549" s="76" t="s">
        <v>10944</v>
      </c>
    </row>
    <row r="1550" spans="1:2" ht="15">
      <c r="A1550" s="77" t="s">
        <v>5344</v>
      </c>
      <c r="B1550" s="76" t="s">
        <v>10944</v>
      </c>
    </row>
    <row r="1551" spans="1:2" ht="15">
      <c r="A1551" s="77" t="s">
        <v>5345</v>
      </c>
      <c r="B1551" s="76" t="s">
        <v>10944</v>
      </c>
    </row>
    <row r="1552" spans="1:2" ht="15">
      <c r="A1552" s="77" t="s">
        <v>5346</v>
      </c>
      <c r="B1552" s="76" t="s">
        <v>10944</v>
      </c>
    </row>
    <row r="1553" spans="1:2" ht="15">
      <c r="A1553" s="77" t="s">
        <v>5347</v>
      </c>
      <c r="B1553" s="76" t="s">
        <v>10944</v>
      </c>
    </row>
    <row r="1554" spans="1:2" ht="15">
      <c r="A1554" s="77" t="s">
        <v>5348</v>
      </c>
      <c r="B1554" s="76" t="s">
        <v>10944</v>
      </c>
    </row>
    <row r="1555" spans="1:2" ht="15">
      <c r="A1555" s="77" t="s">
        <v>5349</v>
      </c>
      <c r="B1555" s="76" t="s">
        <v>10944</v>
      </c>
    </row>
    <row r="1556" spans="1:2" ht="15">
      <c r="A1556" s="77" t="s">
        <v>5350</v>
      </c>
      <c r="B1556" s="76" t="s">
        <v>10944</v>
      </c>
    </row>
    <row r="1557" spans="1:2" ht="15">
      <c r="A1557" s="77" t="s">
        <v>5351</v>
      </c>
      <c r="B1557" s="76" t="s">
        <v>10944</v>
      </c>
    </row>
    <row r="1558" spans="1:2" ht="15">
      <c r="A1558" s="77" t="s">
        <v>5352</v>
      </c>
      <c r="B1558" s="76" t="s">
        <v>10944</v>
      </c>
    </row>
    <row r="1559" spans="1:2" ht="15">
      <c r="A1559" s="77" t="s">
        <v>5353</v>
      </c>
      <c r="B1559" s="76" t="s">
        <v>10944</v>
      </c>
    </row>
    <row r="1560" spans="1:2" ht="15">
      <c r="A1560" s="77" t="s">
        <v>5354</v>
      </c>
      <c r="B1560" s="76" t="s">
        <v>10944</v>
      </c>
    </row>
    <row r="1561" spans="1:2" ht="15">
      <c r="A1561" s="77" t="s">
        <v>5355</v>
      </c>
      <c r="B1561" s="76" t="s">
        <v>10944</v>
      </c>
    </row>
    <row r="1562" spans="1:2" ht="15">
      <c r="A1562" s="77" t="s">
        <v>5356</v>
      </c>
      <c r="B1562" s="76" t="s">
        <v>10944</v>
      </c>
    </row>
    <row r="1563" spans="1:2" ht="15">
      <c r="A1563" s="77" t="s">
        <v>5357</v>
      </c>
      <c r="B1563" s="76" t="s">
        <v>10944</v>
      </c>
    </row>
    <row r="1564" spans="1:2" ht="15">
      <c r="A1564" s="77" t="s">
        <v>5358</v>
      </c>
      <c r="B1564" s="76" t="s">
        <v>10944</v>
      </c>
    </row>
    <row r="1565" spans="1:2" ht="15">
      <c r="A1565" s="77" t="s">
        <v>5359</v>
      </c>
      <c r="B1565" s="76" t="s">
        <v>10944</v>
      </c>
    </row>
    <row r="1566" spans="1:2" ht="15">
      <c r="A1566" s="77" t="s">
        <v>5360</v>
      </c>
      <c r="B1566" s="76" t="s">
        <v>10944</v>
      </c>
    </row>
    <row r="1567" spans="1:2" ht="15">
      <c r="A1567" s="77" t="s">
        <v>5361</v>
      </c>
      <c r="B1567" s="76" t="s">
        <v>10944</v>
      </c>
    </row>
    <row r="1568" spans="1:2" ht="15">
      <c r="A1568" s="77" t="s">
        <v>5362</v>
      </c>
      <c r="B1568" s="76" t="s">
        <v>10944</v>
      </c>
    </row>
    <row r="1569" spans="1:2" ht="15">
      <c r="A1569" s="77" t="s">
        <v>5363</v>
      </c>
      <c r="B1569" s="76" t="s">
        <v>10944</v>
      </c>
    </row>
    <row r="1570" spans="1:2" ht="15">
      <c r="A1570" s="77" t="s">
        <v>5364</v>
      </c>
      <c r="B1570" s="76" t="s">
        <v>10944</v>
      </c>
    </row>
    <row r="1571" spans="1:2" ht="15">
      <c r="A1571" s="77" t="s">
        <v>5365</v>
      </c>
      <c r="B1571" s="76" t="s">
        <v>10944</v>
      </c>
    </row>
    <row r="1572" spans="1:2" ht="15">
      <c r="A1572" s="77" t="s">
        <v>5366</v>
      </c>
      <c r="B1572" s="76" t="s">
        <v>10944</v>
      </c>
    </row>
    <row r="1573" spans="1:2" ht="15">
      <c r="A1573" s="77" t="s">
        <v>5367</v>
      </c>
      <c r="B1573" s="76" t="s">
        <v>10944</v>
      </c>
    </row>
    <row r="1574" spans="1:2" ht="15">
      <c r="A1574" s="77" t="s">
        <v>5368</v>
      </c>
      <c r="B1574" s="76" t="s">
        <v>10944</v>
      </c>
    </row>
    <row r="1575" spans="1:2" ht="15">
      <c r="A1575" s="77" t="s">
        <v>5369</v>
      </c>
      <c r="B1575" s="76" t="s">
        <v>10944</v>
      </c>
    </row>
    <row r="1576" spans="1:2" ht="15">
      <c r="A1576" s="77" t="s">
        <v>5370</v>
      </c>
      <c r="B1576" s="76" t="s">
        <v>10944</v>
      </c>
    </row>
    <row r="1577" spans="1:2" ht="15">
      <c r="A1577" s="77" t="s">
        <v>5371</v>
      </c>
      <c r="B1577" s="76" t="s">
        <v>10944</v>
      </c>
    </row>
    <row r="1578" spans="1:2" ht="15">
      <c r="A1578" s="77" t="s">
        <v>5372</v>
      </c>
      <c r="B1578" s="76" t="s">
        <v>10944</v>
      </c>
    </row>
    <row r="1579" spans="1:2" ht="15">
      <c r="A1579" s="77" t="s">
        <v>5373</v>
      </c>
      <c r="B1579" s="76" t="s">
        <v>10944</v>
      </c>
    </row>
    <row r="1580" spans="1:2" ht="15">
      <c r="A1580" s="77" t="s">
        <v>5374</v>
      </c>
      <c r="B1580" s="76" t="s">
        <v>10944</v>
      </c>
    </row>
    <row r="1581" spans="1:2" ht="15">
      <c r="A1581" s="77" t="s">
        <v>5375</v>
      </c>
      <c r="B1581" s="76" t="s">
        <v>10944</v>
      </c>
    </row>
    <row r="1582" spans="1:2" ht="15">
      <c r="A1582" s="77" t="s">
        <v>5376</v>
      </c>
      <c r="B1582" s="76" t="s">
        <v>10944</v>
      </c>
    </row>
    <row r="1583" spans="1:2" ht="15">
      <c r="A1583" s="77" t="s">
        <v>5377</v>
      </c>
      <c r="B1583" s="76" t="s">
        <v>10944</v>
      </c>
    </row>
    <row r="1584" spans="1:2" ht="15">
      <c r="A1584" s="77" t="s">
        <v>5378</v>
      </c>
      <c r="B1584" s="76" t="s">
        <v>10944</v>
      </c>
    </row>
    <row r="1585" spans="1:2" ht="15">
      <c r="A1585" s="77" t="s">
        <v>5379</v>
      </c>
      <c r="B1585" s="76" t="s">
        <v>10944</v>
      </c>
    </row>
    <row r="1586" spans="1:2" ht="15">
      <c r="A1586" s="77" t="s">
        <v>5380</v>
      </c>
      <c r="B1586" s="76" t="s">
        <v>10944</v>
      </c>
    </row>
    <row r="1587" spans="1:2" ht="15">
      <c r="A1587" s="77" t="s">
        <v>5381</v>
      </c>
      <c r="B1587" s="76" t="s">
        <v>10944</v>
      </c>
    </row>
    <row r="1588" spans="1:2" ht="15">
      <c r="A1588" s="77" t="s">
        <v>5382</v>
      </c>
      <c r="B1588" s="76" t="s">
        <v>10944</v>
      </c>
    </row>
    <row r="1589" spans="1:2" ht="15">
      <c r="A1589" s="77" t="s">
        <v>5383</v>
      </c>
      <c r="B1589" s="76" t="s">
        <v>10944</v>
      </c>
    </row>
    <row r="1590" spans="1:2" ht="15">
      <c r="A1590" s="77" t="s">
        <v>5384</v>
      </c>
      <c r="B1590" s="76" t="s">
        <v>10944</v>
      </c>
    </row>
    <row r="1591" spans="1:2" ht="15">
      <c r="A1591" s="77" t="s">
        <v>5385</v>
      </c>
      <c r="B1591" s="76" t="s">
        <v>10944</v>
      </c>
    </row>
    <row r="1592" spans="1:2" ht="15">
      <c r="A1592" s="77" t="s">
        <v>5386</v>
      </c>
      <c r="B1592" s="76" t="s">
        <v>10944</v>
      </c>
    </row>
    <row r="1593" spans="1:2" ht="15">
      <c r="A1593" s="77" t="s">
        <v>5387</v>
      </c>
      <c r="B1593" s="76" t="s">
        <v>10944</v>
      </c>
    </row>
    <row r="1594" spans="1:2" ht="15">
      <c r="A1594" s="77" t="s">
        <v>5388</v>
      </c>
      <c r="B1594" s="76" t="s">
        <v>10944</v>
      </c>
    </row>
    <row r="1595" spans="1:2" ht="15">
      <c r="A1595" s="77" t="s">
        <v>5389</v>
      </c>
      <c r="B1595" s="76" t="s">
        <v>10944</v>
      </c>
    </row>
    <row r="1596" spans="1:2" ht="15">
      <c r="A1596" s="77" t="s">
        <v>5390</v>
      </c>
      <c r="B1596" s="76" t="s">
        <v>10944</v>
      </c>
    </row>
    <row r="1597" spans="1:2" ht="15">
      <c r="A1597" s="77" t="s">
        <v>3730</v>
      </c>
      <c r="B1597" s="76" t="s">
        <v>10944</v>
      </c>
    </row>
    <row r="1598" spans="1:2" ht="15">
      <c r="A1598" s="77" t="s">
        <v>5391</v>
      </c>
      <c r="B1598" s="76" t="s">
        <v>10944</v>
      </c>
    </row>
    <row r="1599" spans="1:2" ht="15">
      <c r="A1599" s="77" t="s">
        <v>5392</v>
      </c>
      <c r="B1599" s="76" t="s">
        <v>10944</v>
      </c>
    </row>
    <row r="1600" spans="1:2" ht="15">
      <c r="A1600" s="77" t="s">
        <v>5393</v>
      </c>
      <c r="B1600" s="76" t="s">
        <v>10944</v>
      </c>
    </row>
    <row r="1601" spans="1:2" ht="15">
      <c r="A1601" s="77" t="s">
        <v>5394</v>
      </c>
      <c r="B1601" s="76" t="s">
        <v>10944</v>
      </c>
    </row>
    <row r="1602" spans="1:2" ht="15">
      <c r="A1602" s="77" t="s">
        <v>2991</v>
      </c>
      <c r="B1602" s="76" t="s">
        <v>10944</v>
      </c>
    </row>
    <row r="1603" spans="1:2" ht="15">
      <c r="A1603" s="77" t="s">
        <v>5395</v>
      </c>
      <c r="B1603" s="76" t="s">
        <v>10944</v>
      </c>
    </row>
    <row r="1604" spans="1:2" ht="15">
      <c r="A1604" s="77" t="s">
        <v>5396</v>
      </c>
      <c r="B1604" s="76" t="s">
        <v>10944</v>
      </c>
    </row>
    <row r="1605" spans="1:2" ht="15">
      <c r="A1605" s="77" t="s">
        <v>5397</v>
      </c>
      <c r="B1605" s="76" t="s">
        <v>10944</v>
      </c>
    </row>
    <row r="1606" spans="1:2" ht="15">
      <c r="A1606" s="77" t="s">
        <v>5398</v>
      </c>
      <c r="B1606" s="76" t="s">
        <v>10944</v>
      </c>
    </row>
    <row r="1607" spans="1:2" ht="15">
      <c r="A1607" s="77" t="s">
        <v>5399</v>
      </c>
      <c r="B1607" s="76" t="s">
        <v>10944</v>
      </c>
    </row>
    <row r="1608" spans="1:2" ht="15">
      <c r="A1608" s="77" t="s">
        <v>5400</v>
      </c>
      <c r="B1608" s="76" t="s">
        <v>10944</v>
      </c>
    </row>
    <row r="1609" spans="1:2" ht="15">
      <c r="A1609" s="77" t="s">
        <v>5401</v>
      </c>
      <c r="B1609" s="76" t="s">
        <v>10944</v>
      </c>
    </row>
    <row r="1610" spans="1:2" ht="15">
      <c r="A1610" s="77" t="s">
        <v>5402</v>
      </c>
      <c r="B1610" s="76" t="s">
        <v>10944</v>
      </c>
    </row>
    <row r="1611" spans="1:2" ht="15">
      <c r="A1611" s="77" t="s">
        <v>5403</v>
      </c>
      <c r="B1611" s="76" t="s">
        <v>10944</v>
      </c>
    </row>
    <row r="1612" spans="1:2" ht="15">
      <c r="A1612" s="77" t="s">
        <v>5404</v>
      </c>
      <c r="B1612" s="76" t="s">
        <v>10944</v>
      </c>
    </row>
    <row r="1613" spans="1:2" ht="15">
      <c r="A1613" s="77" t="s">
        <v>5405</v>
      </c>
      <c r="B1613" s="76" t="s">
        <v>10944</v>
      </c>
    </row>
    <row r="1614" spans="1:2" ht="15">
      <c r="A1614" s="77" t="s">
        <v>5406</v>
      </c>
      <c r="B1614" s="76" t="s">
        <v>10944</v>
      </c>
    </row>
    <row r="1615" spans="1:2" ht="15">
      <c r="A1615" s="77" t="s">
        <v>5407</v>
      </c>
      <c r="B1615" s="76" t="s">
        <v>10944</v>
      </c>
    </row>
    <row r="1616" spans="1:2" ht="15">
      <c r="A1616" s="77" t="s">
        <v>5408</v>
      </c>
      <c r="B1616" s="76" t="s">
        <v>10944</v>
      </c>
    </row>
    <row r="1617" spans="1:2" ht="15">
      <c r="A1617" s="77" t="s">
        <v>5409</v>
      </c>
      <c r="B1617" s="76" t="s">
        <v>10944</v>
      </c>
    </row>
    <row r="1618" spans="1:2" ht="15">
      <c r="A1618" s="77" t="s">
        <v>5410</v>
      </c>
      <c r="B1618" s="76" t="s">
        <v>10944</v>
      </c>
    </row>
    <row r="1619" spans="1:2" ht="15">
      <c r="A1619" s="77" t="s">
        <v>5411</v>
      </c>
      <c r="B1619" s="76" t="s">
        <v>10944</v>
      </c>
    </row>
    <row r="1620" spans="1:2" ht="15">
      <c r="A1620" s="77" t="s">
        <v>5412</v>
      </c>
      <c r="B1620" s="76" t="s">
        <v>10944</v>
      </c>
    </row>
    <row r="1621" spans="1:2" ht="15">
      <c r="A1621" s="77" t="s">
        <v>5413</v>
      </c>
      <c r="B1621" s="76" t="s">
        <v>10944</v>
      </c>
    </row>
    <row r="1622" spans="1:2" ht="15">
      <c r="A1622" s="77" t="s">
        <v>5414</v>
      </c>
      <c r="B1622" s="76" t="s">
        <v>10944</v>
      </c>
    </row>
    <row r="1623" spans="1:2" ht="15">
      <c r="A1623" s="77" t="s">
        <v>5415</v>
      </c>
      <c r="B1623" s="76" t="s">
        <v>10944</v>
      </c>
    </row>
    <row r="1624" spans="1:2" ht="15">
      <c r="A1624" s="77" t="s">
        <v>5416</v>
      </c>
      <c r="B1624" s="76" t="s">
        <v>10944</v>
      </c>
    </row>
    <row r="1625" spans="1:2" ht="15">
      <c r="A1625" s="77" t="s">
        <v>5417</v>
      </c>
      <c r="B1625" s="76" t="s">
        <v>10944</v>
      </c>
    </row>
    <row r="1626" spans="1:2" ht="15">
      <c r="A1626" s="77" t="s">
        <v>2465</v>
      </c>
      <c r="B1626" s="76" t="s">
        <v>10944</v>
      </c>
    </row>
    <row r="1627" spans="1:2" ht="15">
      <c r="A1627" s="77" t="s">
        <v>3516</v>
      </c>
      <c r="B1627" s="76" t="s">
        <v>10944</v>
      </c>
    </row>
    <row r="1628" spans="1:2" ht="15">
      <c r="A1628" s="77" t="s">
        <v>5418</v>
      </c>
      <c r="B1628" s="76" t="s">
        <v>10944</v>
      </c>
    </row>
    <row r="1629" spans="1:2" ht="15">
      <c r="A1629" s="77" t="s">
        <v>5419</v>
      </c>
      <c r="B1629" s="76" t="s">
        <v>10944</v>
      </c>
    </row>
    <row r="1630" spans="1:2" ht="15">
      <c r="A1630" s="77" t="s">
        <v>5420</v>
      </c>
      <c r="B1630" s="76" t="s">
        <v>10944</v>
      </c>
    </row>
    <row r="1631" spans="1:2" ht="15">
      <c r="A1631" s="77" t="s">
        <v>2782</v>
      </c>
      <c r="B1631" s="76" t="s">
        <v>10944</v>
      </c>
    </row>
    <row r="1632" spans="1:2" ht="15">
      <c r="A1632" s="77" t="s">
        <v>3369</v>
      </c>
      <c r="B1632" s="76" t="s">
        <v>10944</v>
      </c>
    </row>
    <row r="1633" spans="1:2" ht="15">
      <c r="A1633" s="77" t="s">
        <v>5421</v>
      </c>
      <c r="B1633" s="76" t="s">
        <v>10944</v>
      </c>
    </row>
    <row r="1634" spans="1:2" ht="15">
      <c r="A1634" s="77" t="s">
        <v>5422</v>
      </c>
      <c r="B1634" s="76" t="s">
        <v>10944</v>
      </c>
    </row>
    <row r="1635" spans="1:2" ht="15">
      <c r="A1635" s="77" t="s">
        <v>5423</v>
      </c>
      <c r="B1635" s="76" t="s">
        <v>10944</v>
      </c>
    </row>
    <row r="1636" spans="1:2" ht="15">
      <c r="A1636" s="77" t="s">
        <v>5424</v>
      </c>
      <c r="B1636" s="76" t="s">
        <v>10944</v>
      </c>
    </row>
    <row r="1637" spans="1:2" ht="15">
      <c r="A1637" s="77" t="s">
        <v>5425</v>
      </c>
      <c r="B1637" s="76" t="s">
        <v>10944</v>
      </c>
    </row>
    <row r="1638" spans="1:2" ht="15">
      <c r="A1638" s="77" t="s">
        <v>5426</v>
      </c>
      <c r="B1638" s="76" t="s">
        <v>10944</v>
      </c>
    </row>
    <row r="1639" spans="1:2" ht="15">
      <c r="A1639" s="77" t="s">
        <v>5427</v>
      </c>
      <c r="B1639" s="76" t="s">
        <v>10944</v>
      </c>
    </row>
    <row r="1640" spans="1:2" ht="15">
      <c r="A1640" s="77" t="s">
        <v>5428</v>
      </c>
      <c r="B1640" s="76" t="s">
        <v>10944</v>
      </c>
    </row>
    <row r="1641" spans="1:2" ht="15">
      <c r="A1641" s="77" t="s">
        <v>5429</v>
      </c>
      <c r="B1641" s="76" t="s">
        <v>10944</v>
      </c>
    </row>
    <row r="1642" spans="1:2" ht="15">
      <c r="A1642" s="77" t="s">
        <v>5430</v>
      </c>
      <c r="B1642" s="76" t="s">
        <v>10944</v>
      </c>
    </row>
    <row r="1643" spans="1:2" ht="15">
      <c r="A1643" s="77" t="s">
        <v>5431</v>
      </c>
      <c r="B1643" s="76" t="s">
        <v>10944</v>
      </c>
    </row>
    <row r="1644" spans="1:2" ht="15">
      <c r="A1644" s="77" t="s">
        <v>5432</v>
      </c>
      <c r="B1644" s="76" t="s">
        <v>10944</v>
      </c>
    </row>
    <row r="1645" spans="1:2" ht="15">
      <c r="A1645" s="77" t="s">
        <v>5433</v>
      </c>
      <c r="B1645" s="76" t="s">
        <v>10944</v>
      </c>
    </row>
    <row r="1646" spans="1:2" ht="15">
      <c r="A1646" s="77" t="s">
        <v>5434</v>
      </c>
      <c r="B1646" s="76" t="s">
        <v>10944</v>
      </c>
    </row>
    <row r="1647" spans="1:2" ht="15">
      <c r="A1647" s="77" t="s">
        <v>5435</v>
      </c>
      <c r="B1647" s="76" t="s">
        <v>10944</v>
      </c>
    </row>
    <row r="1648" spans="1:2" ht="15">
      <c r="A1648" s="77" t="s">
        <v>5436</v>
      </c>
      <c r="B1648" s="76" t="s">
        <v>10944</v>
      </c>
    </row>
    <row r="1649" spans="1:2" ht="15">
      <c r="A1649" s="77" t="s">
        <v>5437</v>
      </c>
      <c r="B1649" s="76" t="s">
        <v>10944</v>
      </c>
    </row>
    <row r="1650" spans="1:2" ht="15">
      <c r="A1650" s="77" t="s">
        <v>5438</v>
      </c>
      <c r="B1650" s="76" t="s">
        <v>10944</v>
      </c>
    </row>
    <row r="1651" spans="1:2" ht="15">
      <c r="A1651" s="77" t="s">
        <v>5439</v>
      </c>
      <c r="B1651" s="76" t="s">
        <v>10944</v>
      </c>
    </row>
    <row r="1652" spans="1:2" ht="15">
      <c r="A1652" s="77" t="s">
        <v>5440</v>
      </c>
      <c r="B1652" s="76" t="s">
        <v>10944</v>
      </c>
    </row>
    <row r="1653" spans="1:2" ht="15">
      <c r="A1653" s="77" t="s">
        <v>5441</v>
      </c>
      <c r="B1653" s="76" t="s">
        <v>10944</v>
      </c>
    </row>
    <row r="1654" spans="1:2" ht="15">
      <c r="A1654" s="77" t="s">
        <v>5442</v>
      </c>
      <c r="B1654" s="76" t="s">
        <v>10944</v>
      </c>
    </row>
    <row r="1655" spans="1:2" ht="15">
      <c r="A1655" s="77" t="s">
        <v>5443</v>
      </c>
      <c r="B1655" s="76" t="s">
        <v>10944</v>
      </c>
    </row>
    <row r="1656" spans="1:2" ht="15">
      <c r="A1656" s="77" t="s">
        <v>5444</v>
      </c>
      <c r="B1656" s="76" t="s">
        <v>10944</v>
      </c>
    </row>
    <row r="1657" spans="1:2" ht="15">
      <c r="A1657" s="77" t="s">
        <v>5445</v>
      </c>
      <c r="B1657" s="76" t="s">
        <v>10944</v>
      </c>
    </row>
    <row r="1658" spans="1:2" ht="15">
      <c r="A1658" s="77" t="s">
        <v>5446</v>
      </c>
      <c r="B1658" s="76" t="s">
        <v>10944</v>
      </c>
    </row>
    <row r="1659" spans="1:2" ht="15">
      <c r="A1659" s="77" t="s">
        <v>5447</v>
      </c>
      <c r="B1659" s="76" t="s">
        <v>10944</v>
      </c>
    </row>
    <row r="1660" spans="1:2" ht="15">
      <c r="A1660" s="77" t="s">
        <v>5448</v>
      </c>
      <c r="B1660" s="76" t="s">
        <v>10944</v>
      </c>
    </row>
    <row r="1661" spans="1:2" ht="15">
      <c r="A1661" s="77" t="s">
        <v>5449</v>
      </c>
      <c r="B1661" s="76" t="s">
        <v>10944</v>
      </c>
    </row>
    <row r="1662" spans="1:2" ht="15">
      <c r="A1662" s="77" t="s">
        <v>5450</v>
      </c>
      <c r="B1662" s="76" t="s">
        <v>10944</v>
      </c>
    </row>
    <row r="1663" spans="1:2" ht="15">
      <c r="A1663" s="77" t="s">
        <v>5451</v>
      </c>
      <c r="B1663" s="76" t="s">
        <v>10944</v>
      </c>
    </row>
    <row r="1664" spans="1:2" ht="15">
      <c r="A1664" s="77" t="s">
        <v>5452</v>
      </c>
      <c r="B1664" s="76" t="s">
        <v>10944</v>
      </c>
    </row>
    <row r="1665" spans="1:2" ht="15">
      <c r="A1665" s="77" t="s">
        <v>5453</v>
      </c>
      <c r="B1665" s="76" t="s">
        <v>10944</v>
      </c>
    </row>
    <row r="1666" spans="1:2" ht="15">
      <c r="A1666" s="77" t="s">
        <v>5454</v>
      </c>
      <c r="B1666" s="76" t="s">
        <v>10944</v>
      </c>
    </row>
    <row r="1667" spans="1:2" ht="15">
      <c r="A1667" s="77" t="s">
        <v>5455</v>
      </c>
      <c r="B1667" s="76" t="s">
        <v>10944</v>
      </c>
    </row>
    <row r="1668" spans="1:2" ht="15">
      <c r="A1668" s="77" t="s">
        <v>5456</v>
      </c>
      <c r="B1668" s="76" t="s">
        <v>10944</v>
      </c>
    </row>
    <row r="1669" spans="1:2" ht="15">
      <c r="A1669" s="77" t="s">
        <v>5457</v>
      </c>
      <c r="B1669" s="76" t="s">
        <v>10944</v>
      </c>
    </row>
    <row r="1670" spans="1:2" ht="15">
      <c r="A1670" s="77" t="s">
        <v>5458</v>
      </c>
      <c r="B1670" s="76" t="s">
        <v>10944</v>
      </c>
    </row>
    <row r="1671" spans="1:2" ht="15">
      <c r="A1671" s="77" t="s">
        <v>5459</v>
      </c>
      <c r="B1671" s="76" t="s">
        <v>10944</v>
      </c>
    </row>
    <row r="1672" spans="1:2" ht="15">
      <c r="A1672" s="77" t="s">
        <v>5460</v>
      </c>
      <c r="B1672" s="76" t="s">
        <v>10944</v>
      </c>
    </row>
    <row r="1673" spans="1:2" ht="15">
      <c r="A1673" s="77" t="s">
        <v>5461</v>
      </c>
      <c r="B1673" s="76" t="s">
        <v>10944</v>
      </c>
    </row>
    <row r="1674" spans="1:2" ht="15">
      <c r="A1674" s="77" t="s">
        <v>5462</v>
      </c>
      <c r="B1674" s="76" t="s">
        <v>10944</v>
      </c>
    </row>
    <row r="1675" spans="1:2" ht="15">
      <c r="A1675" s="77" t="s">
        <v>5463</v>
      </c>
      <c r="B1675" s="76" t="s">
        <v>10944</v>
      </c>
    </row>
    <row r="1676" spans="1:2" ht="15">
      <c r="A1676" s="77" t="s">
        <v>5464</v>
      </c>
      <c r="B1676" s="76" t="s">
        <v>10944</v>
      </c>
    </row>
    <row r="1677" spans="1:2" ht="15">
      <c r="A1677" s="77" t="s">
        <v>5465</v>
      </c>
      <c r="B1677" s="76" t="s">
        <v>10944</v>
      </c>
    </row>
    <row r="1678" spans="1:2" ht="15">
      <c r="A1678" s="77" t="s">
        <v>5466</v>
      </c>
      <c r="B1678" s="76" t="s">
        <v>10944</v>
      </c>
    </row>
    <row r="1679" spans="1:2" ht="15">
      <c r="A1679" s="77" t="s">
        <v>5467</v>
      </c>
      <c r="B1679" s="76" t="s">
        <v>10944</v>
      </c>
    </row>
    <row r="1680" spans="1:2" ht="15">
      <c r="A1680" s="77" t="s">
        <v>5468</v>
      </c>
      <c r="B1680" s="76" t="s">
        <v>10944</v>
      </c>
    </row>
    <row r="1681" spans="1:2" ht="15">
      <c r="A1681" s="77" t="s">
        <v>5469</v>
      </c>
      <c r="B1681" s="76" t="s">
        <v>10944</v>
      </c>
    </row>
    <row r="1682" spans="1:2" ht="15">
      <c r="A1682" s="77" t="s">
        <v>5470</v>
      </c>
      <c r="B1682" s="76" t="s">
        <v>10944</v>
      </c>
    </row>
    <row r="1683" spans="1:2" ht="15">
      <c r="A1683" s="77" t="s">
        <v>5471</v>
      </c>
      <c r="B1683" s="76" t="s">
        <v>10944</v>
      </c>
    </row>
    <row r="1684" spans="1:2" ht="15">
      <c r="A1684" s="77" t="s">
        <v>5472</v>
      </c>
      <c r="B1684" s="76" t="s">
        <v>10944</v>
      </c>
    </row>
    <row r="1685" spans="1:2" ht="15">
      <c r="A1685" s="77" t="s">
        <v>5473</v>
      </c>
      <c r="B1685" s="76" t="s">
        <v>10944</v>
      </c>
    </row>
    <row r="1686" spans="1:2" ht="15">
      <c r="A1686" s="77" t="s">
        <v>5474</v>
      </c>
      <c r="B1686" s="76" t="s">
        <v>10944</v>
      </c>
    </row>
    <row r="1687" spans="1:2" ht="15">
      <c r="A1687" s="77" t="s">
        <v>5475</v>
      </c>
      <c r="B1687" s="76" t="s">
        <v>10944</v>
      </c>
    </row>
    <row r="1688" spans="1:2" ht="15">
      <c r="A1688" s="77" t="s">
        <v>5476</v>
      </c>
      <c r="B1688" s="76" t="s">
        <v>10944</v>
      </c>
    </row>
    <row r="1689" spans="1:2" ht="15">
      <c r="A1689" s="77" t="s">
        <v>5477</v>
      </c>
      <c r="B1689" s="76" t="s">
        <v>10944</v>
      </c>
    </row>
    <row r="1690" spans="1:2" ht="15">
      <c r="A1690" s="77" t="s">
        <v>5478</v>
      </c>
      <c r="B1690" s="76" t="s">
        <v>10944</v>
      </c>
    </row>
    <row r="1691" spans="1:2" ht="15">
      <c r="A1691" s="77" t="s">
        <v>5479</v>
      </c>
      <c r="B1691" s="76" t="s">
        <v>10944</v>
      </c>
    </row>
    <row r="1692" spans="1:2" ht="15">
      <c r="A1692" s="77" t="s">
        <v>5480</v>
      </c>
      <c r="B1692" s="76" t="s">
        <v>10944</v>
      </c>
    </row>
    <row r="1693" spans="1:2" ht="15">
      <c r="A1693" s="77" t="s">
        <v>5481</v>
      </c>
      <c r="B1693" s="76" t="s">
        <v>10944</v>
      </c>
    </row>
    <row r="1694" spans="1:2" ht="15">
      <c r="A1694" s="77" t="s">
        <v>5482</v>
      </c>
      <c r="B1694" s="76" t="s">
        <v>10944</v>
      </c>
    </row>
    <row r="1695" spans="1:2" ht="15">
      <c r="A1695" s="77" t="s">
        <v>5483</v>
      </c>
      <c r="B1695" s="76" t="s">
        <v>10944</v>
      </c>
    </row>
    <row r="1696" spans="1:2" ht="15">
      <c r="A1696" s="77" t="s">
        <v>5484</v>
      </c>
      <c r="B1696" s="76" t="s">
        <v>10944</v>
      </c>
    </row>
    <row r="1697" spans="1:2" ht="15">
      <c r="A1697" s="77" t="s">
        <v>5485</v>
      </c>
      <c r="B1697" s="76" t="s">
        <v>10944</v>
      </c>
    </row>
    <row r="1698" spans="1:2" ht="15">
      <c r="A1698" s="77" t="s">
        <v>5486</v>
      </c>
      <c r="B1698" s="76" t="s">
        <v>10944</v>
      </c>
    </row>
    <row r="1699" spans="1:2" ht="15">
      <c r="A1699" s="77" t="s">
        <v>5487</v>
      </c>
      <c r="B1699" s="76" t="s">
        <v>10944</v>
      </c>
    </row>
    <row r="1700" spans="1:2" ht="15">
      <c r="A1700" s="77" t="s">
        <v>5488</v>
      </c>
      <c r="B1700" s="76" t="s">
        <v>10944</v>
      </c>
    </row>
    <row r="1701" spans="1:2" ht="15">
      <c r="A1701" s="77" t="s">
        <v>5489</v>
      </c>
      <c r="B1701" s="76" t="s">
        <v>10944</v>
      </c>
    </row>
    <row r="1702" spans="1:2" ht="15">
      <c r="A1702" s="77" t="s">
        <v>5490</v>
      </c>
      <c r="B1702" s="76" t="s">
        <v>10944</v>
      </c>
    </row>
    <row r="1703" spans="1:2" ht="15">
      <c r="A1703" s="77" t="s">
        <v>5491</v>
      </c>
      <c r="B1703" s="76" t="s">
        <v>10944</v>
      </c>
    </row>
    <row r="1704" spans="1:2" ht="15">
      <c r="A1704" s="77" t="s">
        <v>5492</v>
      </c>
      <c r="B1704" s="76" t="s">
        <v>10944</v>
      </c>
    </row>
    <row r="1705" spans="1:2" ht="15">
      <c r="A1705" s="77" t="s">
        <v>5493</v>
      </c>
      <c r="B1705" s="76" t="s">
        <v>10944</v>
      </c>
    </row>
    <row r="1706" spans="1:2" ht="15">
      <c r="A1706" s="77" t="s">
        <v>5494</v>
      </c>
      <c r="B1706" s="76" t="s">
        <v>10944</v>
      </c>
    </row>
    <row r="1707" spans="1:2" ht="15">
      <c r="A1707" s="77" t="s">
        <v>5495</v>
      </c>
      <c r="B1707" s="76" t="s">
        <v>10944</v>
      </c>
    </row>
    <row r="1708" spans="1:2" ht="15">
      <c r="A1708" s="77" t="s">
        <v>5496</v>
      </c>
      <c r="B1708" s="76" t="s">
        <v>10944</v>
      </c>
    </row>
    <row r="1709" spans="1:2" ht="15">
      <c r="A1709" s="77" t="s">
        <v>5497</v>
      </c>
      <c r="B1709" s="76" t="s">
        <v>10944</v>
      </c>
    </row>
    <row r="1710" spans="1:2" ht="15">
      <c r="A1710" s="77" t="s">
        <v>5498</v>
      </c>
      <c r="B1710" s="76" t="s">
        <v>10944</v>
      </c>
    </row>
    <row r="1711" spans="1:2" ht="15">
      <c r="A1711" s="77" t="s">
        <v>5499</v>
      </c>
      <c r="B1711" s="76" t="s">
        <v>10944</v>
      </c>
    </row>
    <row r="1712" spans="1:2" ht="15">
      <c r="A1712" s="77" t="s">
        <v>5500</v>
      </c>
      <c r="B1712" s="76" t="s">
        <v>10944</v>
      </c>
    </row>
    <row r="1713" spans="1:2" ht="15">
      <c r="A1713" s="77" t="s">
        <v>5501</v>
      </c>
      <c r="B1713" s="76" t="s">
        <v>10944</v>
      </c>
    </row>
    <row r="1714" spans="1:2" ht="15">
      <c r="A1714" s="77" t="s">
        <v>5502</v>
      </c>
      <c r="B1714" s="76" t="s">
        <v>10944</v>
      </c>
    </row>
    <row r="1715" spans="1:2" ht="15">
      <c r="A1715" s="77" t="s">
        <v>2593</v>
      </c>
      <c r="B1715" s="76" t="s">
        <v>10944</v>
      </c>
    </row>
    <row r="1716" spans="1:2" ht="15">
      <c r="A1716" s="77" t="s">
        <v>5503</v>
      </c>
      <c r="B1716" s="76" t="s">
        <v>10944</v>
      </c>
    </row>
    <row r="1717" spans="1:2" ht="15">
      <c r="A1717" s="77" t="s">
        <v>5504</v>
      </c>
      <c r="B1717" s="76" t="s">
        <v>10944</v>
      </c>
    </row>
    <row r="1718" spans="1:2" ht="15">
      <c r="A1718" s="77" t="s">
        <v>5505</v>
      </c>
      <c r="B1718" s="76" t="s">
        <v>10944</v>
      </c>
    </row>
    <row r="1719" spans="1:2" ht="15">
      <c r="A1719" s="77" t="s">
        <v>5506</v>
      </c>
      <c r="B1719" s="76" t="s">
        <v>10944</v>
      </c>
    </row>
    <row r="1720" spans="1:2" ht="15">
      <c r="A1720" s="77" t="s">
        <v>5507</v>
      </c>
      <c r="B1720" s="76" t="s">
        <v>10944</v>
      </c>
    </row>
    <row r="1721" spans="1:2" ht="15">
      <c r="A1721" s="77" t="s">
        <v>5508</v>
      </c>
      <c r="B1721" s="76" t="s">
        <v>10944</v>
      </c>
    </row>
    <row r="1722" spans="1:2" ht="15">
      <c r="A1722" s="77" t="s">
        <v>5509</v>
      </c>
      <c r="B1722" s="76" t="s">
        <v>10944</v>
      </c>
    </row>
    <row r="1723" spans="1:2" ht="15">
      <c r="A1723" s="77" t="s">
        <v>5510</v>
      </c>
      <c r="B1723" s="76" t="s">
        <v>10944</v>
      </c>
    </row>
    <row r="1724" spans="1:2" ht="15">
      <c r="A1724" s="77" t="s">
        <v>5511</v>
      </c>
      <c r="B1724" s="76" t="s">
        <v>10944</v>
      </c>
    </row>
    <row r="1725" spans="1:2" ht="15">
      <c r="A1725" s="77" t="s">
        <v>5512</v>
      </c>
      <c r="B1725" s="76" t="s">
        <v>10944</v>
      </c>
    </row>
    <row r="1726" spans="1:2" ht="15">
      <c r="A1726" s="77" t="s">
        <v>5513</v>
      </c>
      <c r="B1726" s="76" t="s">
        <v>10944</v>
      </c>
    </row>
    <row r="1727" spans="1:2" ht="15">
      <c r="A1727" s="77" t="s">
        <v>5514</v>
      </c>
      <c r="B1727" s="76" t="s">
        <v>10944</v>
      </c>
    </row>
    <row r="1728" spans="1:2" ht="15">
      <c r="A1728" s="77" t="s">
        <v>5515</v>
      </c>
      <c r="B1728" s="76" t="s">
        <v>10944</v>
      </c>
    </row>
    <row r="1729" spans="1:2" ht="15">
      <c r="A1729" s="77" t="s">
        <v>5516</v>
      </c>
      <c r="B1729" s="76" t="s">
        <v>10944</v>
      </c>
    </row>
    <row r="1730" spans="1:2" ht="15">
      <c r="A1730" s="77" t="s">
        <v>5517</v>
      </c>
      <c r="B1730" s="76" t="s">
        <v>10944</v>
      </c>
    </row>
    <row r="1731" spans="1:2" ht="15">
      <c r="A1731" s="77" t="s">
        <v>5518</v>
      </c>
      <c r="B1731" s="76" t="s">
        <v>10944</v>
      </c>
    </row>
    <row r="1732" spans="1:2" ht="15">
      <c r="A1732" s="77" t="s">
        <v>5519</v>
      </c>
      <c r="B1732" s="76" t="s">
        <v>10944</v>
      </c>
    </row>
    <row r="1733" spans="1:2" ht="15">
      <c r="A1733" s="77" t="s">
        <v>5520</v>
      </c>
      <c r="B1733" s="76" t="s">
        <v>10944</v>
      </c>
    </row>
    <row r="1734" spans="1:2" ht="15">
      <c r="A1734" s="77" t="s">
        <v>5521</v>
      </c>
      <c r="B1734" s="76" t="s">
        <v>10944</v>
      </c>
    </row>
    <row r="1735" spans="1:2" ht="15">
      <c r="A1735" s="77" t="s">
        <v>5522</v>
      </c>
      <c r="B1735" s="76" t="s">
        <v>10944</v>
      </c>
    </row>
    <row r="1736" spans="1:2" ht="15">
      <c r="A1736" s="77" t="s">
        <v>5523</v>
      </c>
      <c r="B1736" s="76" t="s">
        <v>10944</v>
      </c>
    </row>
    <row r="1737" spans="1:2" ht="15">
      <c r="A1737" s="77" t="s">
        <v>5524</v>
      </c>
      <c r="B1737" s="76" t="s">
        <v>10944</v>
      </c>
    </row>
    <row r="1738" spans="1:2" ht="15">
      <c r="A1738" s="77" t="s">
        <v>5525</v>
      </c>
      <c r="B1738" s="76" t="s">
        <v>10944</v>
      </c>
    </row>
    <row r="1739" spans="1:2" ht="15">
      <c r="A1739" s="77" t="s">
        <v>5526</v>
      </c>
      <c r="B1739" s="76" t="s">
        <v>10944</v>
      </c>
    </row>
    <row r="1740" spans="1:2" ht="15">
      <c r="A1740" s="77" t="s">
        <v>5527</v>
      </c>
      <c r="B1740" s="76" t="s">
        <v>10944</v>
      </c>
    </row>
    <row r="1741" spans="1:2" ht="15">
      <c r="A1741" s="77" t="s">
        <v>5528</v>
      </c>
      <c r="B1741" s="76" t="s">
        <v>10944</v>
      </c>
    </row>
    <row r="1742" spans="1:2" ht="15">
      <c r="A1742" s="77" t="s">
        <v>5529</v>
      </c>
      <c r="B1742" s="76" t="s">
        <v>10944</v>
      </c>
    </row>
    <row r="1743" spans="1:2" ht="15">
      <c r="A1743" s="77" t="s">
        <v>5530</v>
      </c>
      <c r="B1743" s="76" t="s">
        <v>10944</v>
      </c>
    </row>
    <row r="1744" spans="1:2" ht="15">
      <c r="A1744" s="77" t="s">
        <v>5531</v>
      </c>
      <c r="B1744" s="76" t="s">
        <v>10944</v>
      </c>
    </row>
    <row r="1745" spans="1:2" ht="15">
      <c r="A1745" s="77" t="s">
        <v>5532</v>
      </c>
      <c r="B1745" s="76" t="s">
        <v>10944</v>
      </c>
    </row>
    <row r="1746" spans="1:2" ht="15">
      <c r="A1746" s="77" t="s">
        <v>5533</v>
      </c>
      <c r="B1746" s="76" t="s">
        <v>10944</v>
      </c>
    </row>
    <row r="1747" spans="1:2" ht="15">
      <c r="A1747" s="77" t="s">
        <v>5534</v>
      </c>
      <c r="B1747" s="76" t="s">
        <v>10944</v>
      </c>
    </row>
    <row r="1748" spans="1:2" ht="15">
      <c r="A1748" s="77" t="s">
        <v>5535</v>
      </c>
      <c r="B1748" s="76" t="s">
        <v>10944</v>
      </c>
    </row>
    <row r="1749" spans="1:2" ht="15">
      <c r="A1749" s="77" t="s">
        <v>5536</v>
      </c>
      <c r="B1749" s="76" t="s">
        <v>10944</v>
      </c>
    </row>
    <row r="1750" spans="1:2" ht="15">
      <c r="A1750" s="77" t="s">
        <v>5537</v>
      </c>
      <c r="B1750" s="76" t="s">
        <v>10944</v>
      </c>
    </row>
    <row r="1751" spans="1:2" ht="15">
      <c r="A1751" s="77" t="s">
        <v>5538</v>
      </c>
      <c r="B1751" s="76" t="s">
        <v>10944</v>
      </c>
    </row>
    <row r="1752" spans="1:2" ht="15">
      <c r="A1752" s="77" t="s">
        <v>5539</v>
      </c>
      <c r="B1752" s="76" t="s">
        <v>10944</v>
      </c>
    </row>
    <row r="1753" spans="1:2" ht="15">
      <c r="A1753" s="77" t="s">
        <v>5540</v>
      </c>
      <c r="B1753" s="76" t="s">
        <v>10944</v>
      </c>
    </row>
    <row r="1754" spans="1:2" ht="15">
      <c r="A1754" s="77" t="s">
        <v>5541</v>
      </c>
      <c r="B1754" s="76" t="s">
        <v>10944</v>
      </c>
    </row>
    <row r="1755" spans="1:2" ht="15">
      <c r="A1755" s="77" t="s">
        <v>5542</v>
      </c>
      <c r="B1755" s="76" t="s">
        <v>10944</v>
      </c>
    </row>
    <row r="1756" spans="1:2" ht="15">
      <c r="A1756" s="77" t="s">
        <v>5543</v>
      </c>
      <c r="B1756" s="76" t="s">
        <v>10944</v>
      </c>
    </row>
    <row r="1757" spans="1:2" ht="15">
      <c r="A1757" s="77" t="s">
        <v>5544</v>
      </c>
      <c r="B1757" s="76" t="s">
        <v>10944</v>
      </c>
    </row>
    <row r="1758" spans="1:2" ht="15">
      <c r="A1758" s="77" t="s">
        <v>5545</v>
      </c>
      <c r="B1758" s="76" t="s">
        <v>10944</v>
      </c>
    </row>
    <row r="1759" spans="1:2" ht="15">
      <c r="A1759" s="77" t="s">
        <v>5546</v>
      </c>
      <c r="B1759" s="76" t="s">
        <v>10944</v>
      </c>
    </row>
    <row r="1760" spans="1:2" ht="15">
      <c r="A1760" s="77" t="s">
        <v>5547</v>
      </c>
      <c r="B1760" s="76" t="s">
        <v>10944</v>
      </c>
    </row>
    <row r="1761" spans="1:2" ht="15">
      <c r="A1761" s="77" t="s">
        <v>5548</v>
      </c>
      <c r="B1761" s="76" t="s">
        <v>10944</v>
      </c>
    </row>
    <row r="1762" spans="1:2" ht="15">
      <c r="A1762" s="77" t="s">
        <v>5549</v>
      </c>
      <c r="B1762" s="76" t="s">
        <v>10944</v>
      </c>
    </row>
    <row r="1763" spans="1:2" ht="15">
      <c r="A1763" s="77" t="s">
        <v>5550</v>
      </c>
      <c r="B1763" s="76" t="s">
        <v>10944</v>
      </c>
    </row>
    <row r="1764" spans="1:2" ht="15">
      <c r="A1764" s="77" t="s">
        <v>5551</v>
      </c>
      <c r="B1764" s="76" t="s">
        <v>10944</v>
      </c>
    </row>
    <row r="1765" spans="1:2" ht="15">
      <c r="A1765" s="77" t="s">
        <v>5552</v>
      </c>
      <c r="B1765" s="76" t="s">
        <v>10944</v>
      </c>
    </row>
    <row r="1766" spans="1:2" ht="15">
      <c r="A1766" s="77" t="s">
        <v>5553</v>
      </c>
      <c r="B1766" s="76" t="s">
        <v>10944</v>
      </c>
    </row>
    <row r="1767" spans="1:2" ht="15">
      <c r="A1767" s="77" t="s">
        <v>5554</v>
      </c>
      <c r="B1767" s="76" t="s">
        <v>10944</v>
      </c>
    </row>
    <row r="1768" spans="1:2" ht="15">
      <c r="A1768" s="77" t="s">
        <v>5555</v>
      </c>
      <c r="B1768" s="76" t="s">
        <v>10944</v>
      </c>
    </row>
    <row r="1769" spans="1:2" ht="15">
      <c r="A1769" s="77" t="s">
        <v>5556</v>
      </c>
      <c r="B1769" s="76" t="s">
        <v>10944</v>
      </c>
    </row>
    <row r="1770" spans="1:2" ht="15">
      <c r="A1770" s="77" t="s">
        <v>5557</v>
      </c>
      <c r="B1770" s="76" t="s">
        <v>10944</v>
      </c>
    </row>
    <row r="1771" spans="1:2" ht="15">
      <c r="A1771" s="77" t="s">
        <v>5558</v>
      </c>
      <c r="B1771" s="76" t="s">
        <v>10944</v>
      </c>
    </row>
    <row r="1772" spans="1:2" ht="15">
      <c r="A1772" s="77" t="s">
        <v>5559</v>
      </c>
      <c r="B1772" s="76" t="s">
        <v>10944</v>
      </c>
    </row>
    <row r="1773" spans="1:2" ht="15">
      <c r="A1773" s="77" t="s">
        <v>5560</v>
      </c>
      <c r="B1773" s="76" t="s">
        <v>10944</v>
      </c>
    </row>
    <row r="1774" spans="1:2" ht="15">
      <c r="A1774" s="77" t="s">
        <v>5561</v>
      </c>
      <c r="B1774" s="76" t="s">
        <v>10944</v>
      </c>
    </row>
    <row r="1775" spans="1:2" ht="15">
      <c r="A1775" s="77" t="s">
        <v>5562</v>
      </c>
      <c r="B1775" s="76" t="s">
        <v>10944</v>
      </c>
    </row>
    <row r="1776" spans="1:2" ht="15">
      <c r="A1776" s="77" t="s">
        <v>5563</v>
      </c>
      <c r="B1776" s="76" t="s">
        <v>10944</v>
      </c>
    </row>
    <row r="1777" spans="1:2" ht="15">
      <c r="A1777" s="77" t="s">
        <v>5564</v>
      </c>
      <c r="B1777" s="76" t="s">
        <v>10944</v>
      </c>
    </row>
    <row r="1778" spans="1:2" ht="15">
      <c r="A1778" s="77" t="s">
        <v>5565</v>
      </c>
      <c r="B1778" s="76" t="s">
        <v>10944</v>
      </c>
    </row>
    <row r="1779" spans="1:2" ht="15">
      <c r="A1779" s="77" t="s">
        <v>5566</v>
      </c>
      <c r="B1779" s="76" t="s">
        <v>10944</v>
      </c>
    </row>
    <row r="1780" spans="1:2" ht="15">
      <c r="A1780" s="77" t="s">
        <v>5567</v>
      </c>
      <c r="B1780" s="76" t="s">
        <v>10944</v>
      </c>
    </row>
    <row r="1781" spans="1:2" ht="15">
      <c r="A1781" s="77" t="s">
        <v>5568</v>
      </c>
      <c r="B1781" s="76" t="s">
        <v>10944</v>
      </c>
    </row>
    <row r="1782" spans="1:2" ht="15">
      <c r="A1782" s="77" t="s">
        <v>5569</v>
      </c>
      <c r="B1782" s="76" t="s">
        <v>10944</v>
      </c>
    </row>
    <row r="1783" spans="1:2" ht="15">
      <c r="A1783" s="77" t="s">
        <v>5570</v>
      </c>
      <c r="B1783" s="76" t="s">
        <v>10944</v>
      </c>
    </row>
    <row r="1784" spans="1:2" ht="15">
      <c r="A1784" s="77" t="s">
        <v>5571</v>
      </c>
      <c r="B1784" s="76" t="s">
        <v>10944</v>
      </c>
    </row>
    <row r="1785" spans="1:2" ht="15">
      <c r="A1785" s="77" t="s">
        <v>5572</v>
      </c>
      <c r="B1785" s="76" t="s">
        <v>10944</v>
      </c>
    </row>
    <row r="1786" spans="1:2" ht="15">
      <c r="A1786" s="77" t="s">
        <v>5573</v>
      </c>
      <c r="B1786" s="76" t="s">
        <v>10944</v>
      </c>
    </row>
    <row r="1787" spans="1:2" ht="15">
      <c r="A1787" s="77" t="s">
        <v>5574</v>
      </c>
      <c r="B1787" s="76" t="s">
        <v>10944</v>
      </c>
    </row>
    <row r="1788" spans="1:2" ht="15">
      <c r="A1788" s="77" t="s">
        <v>5575</v>
      </c>
      <c r="B1788" s="76" t="s">
        <v>10944</v>
      </c>
    </row>
    <row r="1789" spans="1:2" ht="15">
      <c r="A1789" s="77" t="s">
        <v>5576</v>
      </c>
      <c r="B1789" s="76" t="s">
        <v>10944</v>
      </c>
    </row>
    <row r="1790" spans="1:2" ht="15">
      <c r="A1790" s="77" t="s">
        <v>5577</v>
      </c>
      <c r="B1790" s="76" t="s">
        <v>10944</v>
      </c>
    </row>
    <row r="1791" spans="1:2" ht="15">
      <c r="A1791" s="77" t="s">
        <v>5578</v>
      </c>
      <c r="B1791" s="76" t="s">
        <v>10944</v>
      </c>
    </row>
    <row r="1792" spans="1:2" ht="15">
      <c r="A1792" s="77" t="s">
        <v>5579</v>
      </c>
      <c r="B1792" s="76" t="s">
        <v>10944</v>
      </c>
    </row>
    <row r="1793" spans="1:2" ht="15">
      <c r="A1793" s="77" t="s">
        <v>5580</v>
      </c>
      <c r="B1793" s="76" t="s">
        <v>10944</v>
      </c>
    </row>
    <row r="1794" spans="1:2" ht="15">
      <c r="A1794" s="77" t="s">
        <v>5581</v>
      </c>
      <c r="B1794" s="76" t="s">
        <v>10944</v>
      </c>
    </row>
    <row r="1795" spans="1:2" ht="15">
      <c r="A1795" s="77" t="s">
        <v>3434</v>
      </c>
      <c r="B1795" s="76" t="s">
        <v>10944</v>
      </c>
    </row>
    <row r="1796" spans="1:2" ht="15">
      <c r="A1796" s="77" t="s">
        <v>5582</v>
      </c>
      <c r="B1796" s="76" t="s">
        <v>10944</v>
      </c>
    </row>
    <row r="1797" spans="1:2" ht="15">
      <c r="A1797" s="77" t="s">
        <v>5583</v>
      </c>
      <c r="B1797" s="76" t="s">
        <v>10944</v>
      </c>
    </row>
    <row r="1798" spans="1:2" ht="15">
      <c r="A1798" s="77" t="s">
        <v>5584</v>
      </c>
      <c r="B1798" s="76" t="s">
        <v>10944</v>
      </c>
    </row>
    <row r="1799" spans="1:2" ht="15">
      <c r="A1799" s="77" t="s">
        <v>5585</v>
      </c>
      <c r="B1799" s="76" t="s">
        <v>10944</v>
      </c>
    </row>
    <row r="1800" spans="1:2" ht="15">
      <c r="A1800" s="77" t="s">
        <v>5586</v>
      </c>
      <c r="B1800" s="76" t="s">
        <v>10944</v>
      </c>
    </row>
    <row r="1801" spans="1:2" ht="15">
      <c r="A1801" s="77" t="s">
        <v>5587</v>
      </c>
      <c r="B1801" s="76" t="s">
        <v>10944</v>
      </c>
    </row>
    <row r="1802" spans="1:2" ht="15">
      <c r="A1802" s="77" t="s">
        <v>5588</v>
      </c>
      <c r="B1802" s="76" t="s">
        <v>10944</v>
      </c>
    </row>
    <row r="1803" spans="1:2" ht="15">
      <c r="A1803" s="77" t="s">
        <v>5589</v>
      </c>
      <c r="B1803" s="76" t="s">
        <v>10944</v>
      </c>
    </row>
    <row r="1804" spans="1:2" ht="15">
      <c r="A1804" s="77" t="s">
        <v>5590</v>
      </c>
      <c r="B1804" s="76" t="s">
        <v>10944</v>
      </c>
    </row>
    <row r="1805" spans="1:2" ht="15">
      <c r="A1805" s="77" t="s">
        <v>5591</v>
      </c>
      <c r="B1805" s="76" t="s">
        <v>10944</v>
      </c>
    </row>
    <row r="1806" spans="1:2" ht="15">
      <c r="A1806" s="77" t="s">
        <v>5592</v>
      </c>
      <c r="B1806" s="76" t="s">
        <v>10944</v>
      </c>
    </row>
    <row r="1807" spans="1:2" ht="15">
      <c r="A1807" s="77" t="s">
        <v>5593</v>
      </c>
      <c r="B1807" s="76" t="s">
        <v>10944</v>
      </c>
    </row>
    <row r="1808" spans="1:2" ht="15">
      <c r="A1808" s="77" t="s">
        <v>5594</v>
      </c>
      <c r="B1808" s="76" t="s">
        <v>10944</v>
      </c>
    </row>
    <row r="1809" spans="1:2" ht="15">
      <c r="A1809" s="77" t="s">
        <v>5595</v>
      </c>
      <c r="B1809" s="76" t="s">
        <v>10944</v>
      </c>
    </row>
    <row r="1810" spans="1:2" ht="15">
      <c r="A1810" s="77" t="s">
        <v>5596</v>
      </c>
      <c r="B1810" s="76" t="s">
        <v>10944</v>
      </c>
    </row>
    <row r="1811" spans="1:2" ht="15">
      <c r="A1811" s="77" t="s">
        <v>5597</v>
      </c>
      <c r="B1811" s="76" t="s">
        <v>10944</v>
      </c>
    </row>
    <row r="1812" spans="1:2" ht="15">
      <c r="A1812" s="77" t="s">
        <v>5598</v>
      </c>
      <c r="B1812" s="76" t="s">
        <v>10944</v>
      </c>
    </row>
    <row r="1813" spans="1:2" ht="15">
      <c r="A1813" s="77" t="s">
        <v>5599</v>
      </c>
      <c r="B1813" s="76" t="s">
        <v>10944</v>
      </c>
    </row>
    <row r="1814" spans="1:2" ht="15">
      <c r="A1814" s="77" t="s">
        <v>5600</v>
      </c>
      <c r="B1814" s="76" t="s">
        <v>10944</v>
      </c>
    </row>
    <row r="1815" spans="1:2" ht="15">
      <c r="A1815" s="77" t="s">
        <v>5601</v>
      </c>
      <c r="B1815" s="76" t="s">
        <v>10944</v>
      </c>
    </row>
    <row r="1816" spans="1:2" ht="15">
      <c r="A1816" s="77" t="s">
        <v>5602</v>
      </c>
      <c r="B1816" s="76" t="s">
        <v>10944</v>
      </c>
    </row>
    <row r="1817" spans="1:2" ht="15">
      <c r="A1817" s="77" t="s">
        <v>5603</v>
      </c>
      <c r="B1817" s="76" t="s">
        <v>10944</v>
      </c>
    </row>
    <row r="1818" spans="1:2" ht="15">
      <c r="A1818" s="77" t="s">
        <v>5604</v>
      </c>
      <c r="B1818" s="76" t="s">
        <v>10944</v>
      </c>
    </row>
    <row r="1819" spans="1:2" ht="15">
      <c r="A1819" s="77" t="s">
        <v>5605</v>
      </c>
      <c r="B1819" s="76" t="s">
        <v>10944</v>
      </c>
    </row>
    <row r="1820" spans="1:2" ht="15">
      <c r="A1820" s="77" t="s">
        <v>5606</v>
      </c>
      <c r="B1820" s="76" t="s">
        <v>10944</v>
      </c>
    </row>
    <row r="1821" spans="1:2" ht="15">
      <c r="A1821" s="77" t="s">
        <v>5607</v>
      </c>
      <c r="B1821" s="76" t="s">
        <v>10944</v>
      </c>
    </row>
    <row r="1822" spans="1:2" ht="15">
      <c r="A1822" s="77" t="s">
        <v>5608</v>
      </c>
      <c r="B1822" s="76" t="s">
        <v>10944</v>
      </c>
    </row>
    <row r="1823" spans="1:2" ht="15">
      <c r="A1823" s="77" t="s">
        <v>5609</v>
      </c>
      <c r="B1823" s="76" t="s">
        <v>10944</v>
      </c>
    </row>
    <row r="1824" spans="1:2" ht="15">
      <c r="A1824" s="77" t="s">
        <v>5610</v>
      </c>
      <c r="B1824" s="76" t="s">
        <v>10944</v>
      </c>
    </row>
    <row r="1825" spans="1:2" ht="15">
      <c r="A1825" s="77" t="s">
        <v>5611</v>
      </c>
      <c r="B1825" s="76" t="s">
        <v>10944</v>
      </c>
    </row>
    <row r="1826" spans="1:2" ht="15">
      <c r="A1826" s="77" t="s">
        <v>5612</v>
      </c>
      <c r="B1826" s="76" t="s">
        <v>10944</v>
      </c>
    </row>
    <row r="1827" spans="1:2" ht="15">
      <c r="A1827" s="77" t="s">
        <v>5613</v>
      </c>
      <c r="B1827" s="76" t="s">
        <v>10944</v>
      </c>
    </row>
    <row r="1828" spans="1:2" ht="15">
      <c r="A1828" s="77" t="s">
        <v>5614</v>
      </c>
      <c r="B1828" s="76" t="s">
        <v>10944</v>
      </c>
    </row>
    <row r="1829" spans="1:2" ht="15">
      <c r="A1829" s="77" t="s">
        <v>5615</v>
      </c>
      <c r="B1829" s="76" t="s">
        <v>10944</v>
      </c>
    </row>
    <row r="1830" spans="1:2" ht="15">
      <c r="A1830" s="77" t="s">
        <v>5616</v>
      </c>
      <c r="B1830" s="76" t="s">
        <v>10944</v>
      </c>
    </row>
    <row r="1831" spans="1:2" ht="15">
      <c r="A1831" s="77" t="s">
        <v>5617</v>
      </c>
      <c r="B1831" s="76" t="s">
        <v>10944</v>
      </c>
    </row>
    <row r="1832" spans="1:2" ht="15">
      <c r="A1832" s="77" t="s">
        <v>5618</v>
      </c>
      <c r="B1832" s="76" t="s">
        <v>10944</v>
      </c>
    </row>
    <row r="1833" spans="1:2" ht="15">
      <c r="A1833" s="77" t="s">
        <v>5619</v>
      </c>
      <c r="B1833" s="76" t="s">
        <v>10944</v>
      </c>
    </row>
    <row r="1834" spans="1:2" ht="15">
      <c r="A1834" s="77" t="s">
        <v>5620</v>
      </c>
      <c r="B1834" s="76" t="s">
        <v>10944</v>
      </c>
    </row>
    <row r="1835" spans="1:2" ht="15">
      <c r="A1835" s="77" t="s">
        <v>5621</v>
      </c>
      <c r="B1835" s="76" t="s">
        <v>10944</v>
      </c>
    </row>
    <row r="1836" spans="1:2" ht="15">
      <c r="A1836" s="77" t="s">
        <v>5622</v>
      </c>
      <c r="B1836" s="76" t="s">
        <v>10944</v>
      </c>
    </row>
    <row r="1837" spans="1:2" ht="15">
      <c r="A1837" s="77" t="s">
        <v>5623</v>
      </c>
      <c r="B1837" s="76" t="s">
        <v>10944</v>
      </c>
    </row>
    <row r="1838" spans="1:2" ht="15">
      <c r="A1838" s="77" t="s">
        <v>5624</v>
      </c>
      <c r="B1838" s="76" t="s">
        <v>10944</v>
      </c>
    </row>
    <row r="1839" spans="1:2" ht="15">
      <c r="A1839" s="77" t="s">
        <v>5625</v>
      </c>
      <c r="B1839" s="76" t="s">
        <v>10944</v>
      </c>
    </row>
    <row r="1840" spans="1:2" ht="15">
      <c r="A1840" s="77" t="s">
        <v>5626</v>
      </c>
      <c r="B1840" s="76" t="s">
        <v>10944</v>
      </c>
    </row>
    <row r="1841" spans="1:2" ht="15">
      <c r="A1841" s="77" t="s">
        <v>5627</v>
      </c>
      <c r="B1841" s="76" t="s">
        <v>10944</v>
      </c>
    </row>
    <row r="1842" spans="1:2" ht="15">
      <c r="A1842" s="77" t="s">
        <v>5628</v>
      </c>
      <c r="B1842" s="76" t="s">
        <v>10944</v>
      </c>
    </row>
    <row r="1843" spans="1:2" ht="15">
      <c r="A1843" s="77" t="s">
        <v>5629</v>
      </c>
      <c r="B1843" s="76" t="s">
        <v>10944</v>
      </c>
    </row>
    <row r="1844" spans="1:2" ht="15">
      <c r="A1844" s="77" t="s">
        <v>5630</v>
      </c>
      <c r="B1844" s="76" t="s">
        <v>10944</v>
      </c>
    </row>
    <row r="1845" spans="1:2" ht="15">
      <c r="A1845" s="77" t="s">
        <v>5631</v>
      </c>
      <c r="B1845" s="76" t="s">
        <v>10944</v>
      </c>
    </row>
    <row r="1846" spans="1:2" ht="15">
      <c r="A1846" s="77" t="s">
        <v>5632</v>
      </c>
      <c r="B1846" s="76" t="s">
        <v>10944</v>
      </c>
    </row>
    <row r="1847" spans="1:2" ht="15">
      <c r="A1847" s="77" t="s">
        <v>5633</v>
      </c>
      <c r="B1847" s="76" t="s">
        <v>10944</v>
      </c>
    </row>
    <row r="1848" spans="1:2" ht="15">
      <c r="A1848" s="77" t="s">
        <v>5634</v>
      </c>
      <c r="B1848" s="76" t="s">
        <v>10944</v>
      </c>
    </row>
    <row r="1849" spans="1:2" ht="15">
      <c r="A1849" s="77" t="s">
        <v>5635</v>
      </c>
      <c r="B1849" s="76" t="s">
        <v>10944</v>
      </c>
    </row>
    <row r="1850" spans="1:2" ht="15">
      <c r="A1850" s="77" t="s">
        <v>5636</v>
      </c>
      <c r="B1850" s="76" t="s">
        <v>10944</v>
      </c>
    </row>
    <row r="1851" spans="1:2" ht="15">
      <c r="A1851" s="77" t="s">
        <v>5637</v>
      </c>
      <c r="B1851" s="76" t="s">
        <v>10944</v>
      </c>
    </row>
    <row r="1852" spans="1:2" ht="15">
      <c r="A1852" s="77" t="s">
        <v>5638</v>
      </c>
      <c r="B1852" s="76" t="s">
        <v>10944</v>
      </c>
    </row>
    <row r="1853" spans="1:2" ht="15">
      <c r="A1853" s="77" t="s">
        <v>3573</v>
      </c>
      <c r="B1853" s="76" t="s">
        <v>10944</v>
      </c>
    </row>
    <row r="1854" spans="1:2" ht="15">
      <c r="A1854" s="77" t="s">
        <v>5639</v>
      </c>
      <c r="B1854" s="76" t="s">
        <v>10944</v>
      </c>
    </row>
    <row r="1855" spans="1:2" ht="15">
      <c r="A1855" s="77" t="s">
        <v>5640</v>
      </c>
      <c r="B1855" s="76" t="s">
        <v>10944</v>
      </c>
    </row>
    <row r="1856" spans="1:2" ht="15">
      <c r="A1856" s="77" t="s">
        <v>5641</v>
      </c>
      <c r="B1856" s="76" t="s">
        <v>10944</v>
      </c>
    </row>
    <row r="1857" spans="1:2" ht="15">
      <c r="A1857" s="77" t="s">
        <v>5642</v>
      </c>
      <c r="B1857" s="76" t="s">
        <v>10944</v>
      </c>
    </row>
    <row r="1858" spans="1:2" ht="15">
      <c r="A1858" s="77" t="s">
        <v>5643</v>
      </c>
      <c r="B1858" s="76" t="s">
        <v>10944</v>
      </c>
    </row>
    <row r="1859" spans="1:2" ht="15">
      <c r="A1859" s="77" t="s">
        <v>5644</v>
      </c>
      <c r="B1859" s="76" t="s">
        <v>10944</v>
      </c>
    </row>
    <row r="1860" spans="1:2" ht="15">
      <c r="A1860" s="77" t="s">
        <v>5645</v>
      </c>
      <c r="B1860" s="76" t="s">
        <v>10944</v>
      </c>
    </row>
    <row r="1861" spans="1:2" ht="15">
      <c r="A1861" s="77" t="s">
        <v>5646</v>
      </c>
      <c r="B1861" s="76" t="s">
        <v>10944</v>
      </c>
    </row>
    <row r="1862" spans="1:2" ht="15">
      <c r="A1862" s="77" t="s">
        <v>5647</v>
      </c>
      <c r="B1862" s="76" t="s">
        <v>10944</v>
      </c>
    </row>
    <row r="1863" spans="1:2" ht="15">
      <c r="A1863" s="77" t="s">
        <v>5648</v>
      </c>
      <c r="B1863" s="76" t="s">
        <v>10944</v>
      </c>
    </row>
    <row r="1864" spans="1:2" ht="15">
      <c r="A1864" s="77" t="s">
        <v>5649</v>
      </c>
      <c r="B1864" s="76" t="s">
        <v>10944</v>
      </c>
    </row>
    <row r="1865" spans="1:2" ht="15">
      <c r="A1865" s="77" t="s">
        <v>5650</v>
      </c>
      <c r="B1865" s="76" t="s">
        <v>10944</v>
      </c>
    </row>
    <row r="1866" spans="1:2" ht="15">
      <c r="A1866" s="77" t="s">
        <v>5651</v>
      </c>
      <c r="B1866" s="76" t="s">
        <v>10944</v>
      </c>
    </row>
    <row r="1867" spans="1:2" ht="15">
      <c r="A1867" s="77" t="s">
        <v>5652</v>
      </c>
      <c r="B1867" s="76" t="s">
        <v>10944</v>
      </c>
    </row>
    <row r="1868" spans="1:2" ht="15">
      <c r="A1868" s="77" t="s">
        <v>5653</v>
      </c>
      <c r="B1868" s="76" t="s">
        <v>10944</v>
      </c>
    </row>
    <row r="1869" spans="1:2" ht="15">
      <c r="A1869" s="77" t="s">
        <v>5654</v>
      </c>
      <c r="B1869" s="76" t="s">
        <v>10944</v>
      </c>
    </row>
    <row r="1870" spans="1:2" ht="15">
      <c r="A1870" s="77" t="s">
        <v>5655</v>
      </c>
      <c r="B1870" s="76" t="s">
        <v>10944</v>
      </c>
    </row>
    <row r="1871" spans="1:2" ht="15">
      <c r="A1871" s="77" t="s">
        <v>5656</v>
      </c>
      <c r="B1871" s="76" t="s">
        <v>10944</v>
      </c>
    </row>
    <row r="1872" spans="1:2" ht="15">
      <c r="A1872" s="77" t="s">
        <v>5657</v>
      </c>
      <c r="B1872" s="76" t="s">
        <v>10944</v>
      </c>
    </row>
    <row r="1873" spans="1:2" ht="15">
      <c r="A1873" s="77" t="s">
        <v>5658</v>
      </c>
      <c r="B1873" s="76" t="s">
        <v>10944</v>
      </c>
    </row>
    <row r="1874" spans="1:2" ht="15">
      <c r="A1874" s="77" t="s">
        <v>3706</v>
      </c>
      <c r="B1874" s="76" t="s">
        <v>10944</v>
      </c>
    </row>
    <row r="1875" spans="1:2" ht="15">
      <c r="A1875" s="77" t="s">
        <v>5659</v>
      </c>
      <c r="B1875" s="76" t="s">
        <v>10944</v>
      </c>
    </row>
    <row r="1876" spans="1:2" ht="15">
      <c r="A1876" s="77" t="s">
        <v>5660</v>
      </c>
      <c r="B1876" s="76" t="s">
        <v>10944</v>
      </c>
    </row>
    <row r="1877" spans="1:2" ht="15">
      <c r="A1877" s="77" t="s">
        <v>5661</v>
      </c>
      <c r="B1877" s="76" t="s">
        <v>10944</v>
      </c>
    </row>
    <row r="1878" spans="1:2" ht="15">
      <c r="A1878" s="77" t="s">
        <v>5662</v>
      </c>
      <c r="B1878" s="76" t="s">
        <v>10944</v>
      </c>
    </row>
    <row r="1879" spans="1:2" ht="15">
      <c r="A1879" s="77" t="s">
        <v>5663</v>
      </c>
      <c r="B1879" s="76" t="s">
        <v>10944</v>
      </c>
    </row>
    <row r="1880" spans="1:2" ht="15">
      <c r="A1880" s="77" t="s">
        <v>5664</v>
      </c>
      <c r="B1880" s="76" t="s">
        <v>10944</v>
      </c>
    </row>
    <row r="1881" spans="1:2" ht="15">
      <c r="A1881" s="77" t="s">
        <v>3820</v>
      </c>
      <c r="B1881" s="76" t="s">
        <v>10944</v>
      </c>
    </row>
    <row r="1882" spans="1:2" ht="15">
      <c r="A1882" s="77" t="s">
        <v>5665</v>
      </c>
      <c r="B1882" s="76" t="s">
        <v>10944</v>
      </c>
    </row>
    <row r="1883" spans="1:2" ht="15">
      <c r="A1883" s="77" t="s">
        <v>5666</v>
      </c>
      <c r="B1883" s="76" t="s">
        <v>10944</v>
      </c>
    </row>
    <row r="1884" spans="1:2" ht="15">
      <c r="A1884" s="77" t="s">
        <v>5667</v>
      </c>
      <c r="B1884" s="76" t="s">
        <v>10944</v>
      </c>
    </row>
    <row r="1885" spans="1:2" ht="15">
      <c r="A1885" s="77" t="s">
        <v>5668</v>
      </c>
      <c r="B1885" s="76" t="s">
        <v>10944</v>
      </c>
    </row>
    <row r="1886" spans="1:2" ht="15">
      <c r="A1886" s="77" t="s">
        <v>5669</v>
      </c>
      <c r="B1886" s="76" t="s">
        <v>10944</v>
      </c>
    </row>
    <row r="1887" spans="1:2" ht="15">
      <c r="A1887" s="77" t="s">
        <v>5670</v>
      </c>
      <c r="B1887" s="76" t="s">
        <v>10944</v>
      </c>
    </row>
    <row r="1888" spans="1:2" ht="15">
      <c r="A1888" s="77" t="s">
        <v>5671</v>
      </c>
      <c r="B1888" s="76" t="s">
        <v>10944</v>
      </c>
    </row>
    <row r="1889" spans="1:2" ht="15">
      <c r="A1889" s="77" t="s">
        <v>5672</v>
      </c>
      <c r="B1889" s="76" t="s">
        <v>10944</v>
      </c>
    </row>
    <row r="1890" spans="1:2" ht="15">
      <c r="A1890" s="77" t="s">
        <v>5673</v>
      </c>
      <c r="B1890" s="76" t="s">
        <v>10944</v>
      </c>
    </row>
    <row r="1891" spans="1:2" ht="15">
      <c r="A1891" s="77" t="s">
        <v>5674</v>
      </c>
      <c r="B1891" s="76" t="s">
        <v>10944</v>
      </c>
    </row>
    <row r="1892" spans="1:2" ht="15">
      <c r="A1892" s="77" t="s">
        <v>5675</v>
      </c>
      <c r="B1892" s="76" t="s">
        <v>10944</v>
      </c>
    </row>
    <row r="1893" spans="1:2" ht="15">
      <c r="A1893" s="77" t="s">
        <v>5676</v>
      </c>
      <c r="B1893" s="76" t="s">
        <v>10944</v>
      </c>
    </row>
    <row r="1894" spans="1:2" ht="15">
      <c r="A1894" s="77" t="s">
        <v>5677</v>
      </c>
      <c r="B1894" s="76" t="s">
        <v>10944</v>
      </c>
    </row>
    <row r="1895" spans="1:2" ht="15">
      <c r="A1895" s="77" t="s">
        <v>5678</v>
      </c>
      <c r="B1895" s="76" t="s">
        <v>10944</v>
      </c>
    </row>
    <row r="1896" spans="1:2" ht="15">
      <c r="A1896" s="77" t="s">
        <v>5679</v>
      </c>
      <c r="B1896" s="76" t="s">
        <v>10944</v>
      </c>
    </row>
    <row r="1897" spans="1:2" ht="15">
      <c r="A1897" s="77" t="s">
        <v>5680</v>
      </c>
      <c r="B1897" s="76" t="s">
        <v>10944</v>
      </c>
    </row>
    <row r="1898" spans="1:2" ht="15">
      <c r="A1898" s="77" t="s">
        <v>5681</v>
      </c>
      <c r="B1898" s="76" t="s">
        <v>10944</v>
      </c>
    </row>
    <row r="1899" spans="1:2" ht="15">
      <c r="A1899" s="77" t="s">
        <v>5682</v>
      </c>
      <c r="B1899" s="76" t="s">
        <v>10944</v>
      </c>
    </row>
    <row r="1900" spans="1:2" ht="15">
      <c r="A1900" s="77" t="s">
        <v>5683</v>
      </c>
      <c r="B1900" s="76" t="s">
        <v>10944</v>
      </c>
    </row>
    <row r="1901" spans="1:2" ht="15">
      <c r="A1901" s="77" t="s">
        <v>5684</v>
      </c>
      <c r="B1901" s="76" t="s">
        <v>10944</v>
      </c>
    </row>
    <row r="1902" spans="1:2" ht="15">
      <c r="A1902" s="77" t="s">
        <v>5685</v>
      </c>
      <c r="B1902" s="76" t="s">
        <v>10944</v>
      </c>
    </row>
    <row r="1903" spans="1:2" ht="15">
      <c r="A1903" s="77" t="s">
        <v>5686</v>
      </c>
      <c r="B1903" s="76" t="s">
        <v>10944</v>
      </c>
    </row>
    <row r="1904" spans="1:2" ht="15">
      <c r="A1904" s="77" t="s">
        <v>5687</v>
      </c>
      <c r="B1904" s="76" t="s">
        <v>10944</v>
      </c>
    </row>
    <row r="1905" spans="1:2" ht="15">
      <c r="A1905" s="77" t="s">
        <v>5688</v>
      </c>
      <c r="B1905" s="76" t="s">
        <v>10944</v>
      </c>
    </row>
    <row r="1906" spans="1:2" ht="15">
      <c r="A1906" s="77" t="s">
        <v>5689</v>
      </c>
      <c r="B1906" s="76" t="s">
        <v>10944</v>
      </c>
    </row>
    <row r="1907" spans="1:2" ht="15">
      <c r="A1907" s="77" t="s">
        <v>5690</v>
      </c>
      <c r="B1907" s="76" t="s">
        <v>10944</v>
      </c>
    </row>
    <row r="1908" spans="1:2" ht="15">
      <c r="A1908" s="77" t="s">
        <v>5691</v>
      </c>
      <c r="B1908" s="76" t="s">
        <v>10944</v>
      </c>
    </row>
    <row r="1909" spans="1:2" ht="15">
      <c r="A1909" s="77" t="s">
        <v>5692</v>
      </c>
      <c r="B1909" s="76" t="s">
        <v>10944</v>
      </c>
    </row>
    <row r="1910" spans="1:2" ht="15">
      <c r="A1910" s="77" t="s">
        <v>5693</v>
      </c>
      <c r="B1910" s="76" t="s">
        <v>10944</v>
      </c>
    </row>
    <row r="1911" spans="1:2" ht="15">
      <c r="A1911" s="77" t="s">
        <v>5694</v>
      </c>
      <c r="B1911" s="76" t="s">
        <v>10944</v>
      </c>
    </row>
    <row r="1912" spans="1:2" ht="15">
      <c r="A1912" s="77" t="s">
        <v>5695</v>
      </c>
      <c r="B1912" s="76" t="s">
        <v>10944</v>
      </c>
    </row>
    <row r="1913" spans="1:2" ht="15">
      <c r="A1913" s="77" t="s">
        <v>5696</v>
      </c>
      <c r="B1913" s="76" t="s">
        <v>10944</v>
      </c>
    </row>
    <row r="1914" spans="1:2" ht="15">
      <c r="A1914" s="77" t="s">
        <v>5697</v>
      </c>
      <c r="B1914" s="76" t="s">
        <v>10944</v>
      </c>
    </row>
    <row r="1915" spans="1:2" ht="15">
      <c r="A1915" s="77" t="s">
        <v>5698</v>
      </c>
      <c r="B1915" s="76" t="s">
        <v>10944</v>
      </c>
    </row>
    <row r="1916" spans="1:2" ht="15">
      <c r="A1916" s="77" t="s">
        <v>2682</v>
      </c>
      <c r="B1916" s="76" t="s">
        <v>10944</v>
      </c>
    </row>
    <row r="1917" spans="1:2" ht="15">
      <c r="A1917" s="77" t="s">
        <v>5699</v>
      </c>
      <c r="B1917" s="76" t="s">
        <v>10944</v>
      </c>
    </row>
    <row r="1918" spans="1:2" ht="15">
      <c r="A1918" s="77" t="s">
        <v>3296</v>
      </c>
      <c r="B1918" s="76" t="s">
        <v>10944</v>
      </c>
    </row>
    <row r="1919" spans="1:2" ht="15">
      <c r="A1919" s="77" t="s">
        <v>5700</v>
      </c>
      <c r="B1919" s="76" t="s">
        <v>10944</v>
      </c>
    </row>
    <row r="1920" spans="1:2" ht="15">
      <c r="A1920" s="77" t="s">
        <v>5701</v>
      </c>
      <c r="B1920" s="76" t="s">
        <v>10944</v>
      </c>
    </row>
    <row r="1921" spans="1:2" ht="15">
      <c r="A1921" s="77" t="s">
        <v>5702</v>
      </c>
      <c r="B1921" s="76" t="s">
        <v>10944</v>
      </c>
    </row>
    <row r="1922" spans="1:2" ht="15">
      <c r="A1922" s="77" t="s">
        <v>2906</v>
      </c>
      <c r="B1922" s="76" t="s">
        <v>10944</v>
      </c>
    </row>
    <row r="1923" spans="1:2" ht="15">
      <c r="A1923" s="77" t="s">
        <v>5703</v>
      </c>
      <c r="B1923" s="76" t="s">
        <v>10944</v>
      </c>
    </row>
    <row r="1924" spans="1:2" ht="15">
      <c r="A1924" s="77" t="s">
        <v>5704</v>
      </c>
      <c r="B1924" s="76" t="s">
        <v>10944</v>
      </c>
    </row>
    <row r="1925" spans="1:2" ht="15">
      <c r="A1925" s="77" t="s">
        <v>5705</v>
      </c>
      <c r="B1925" s="76" t="s">
        <v>10944</v>
      </c>
    </row>
    <row r="1926" spans="1:2" ht="15">
      <c r="A1926" s="77" t="s">
        <v>5706</v>
      </c>
      <c r="B1926" s="76" t="s">
        <v>10944</v>
      </c>
    </row>
    <row r="1927" spans="1:2" ht="15">
      <c r="A1927" s="77" t="s">
        <v>5707</v>
      </c>
      <c r="B1927" s="76" t="s">
        <v>10944</v>
      </c>
    </row>
    <row r="1928" spans="1:2" ht="15">
      <c r="A1928" s="77" t="s">
        <v>5708</v>
      </c>
      <c r="B1928" s="76" t="s">
        <v>10944</v>
      </c>
    </row>
    <row r="1929" spans="1:2" ht="15">
      <c r="A1929" s="77" t="s">
        <v>5709</v>
      </c>
      <c r="B1929" s="76" t="s">
        <v>10944</v>
      </c>
    </row>
    <row r="1930" spans="1:2" ht="15">
      <c r="A1930" s="77" t="s">
        <v>5710</v>
      </c>
      <c r="B1930" s="76" t="s">
        <v>10944</v>
      </c>
    </row>
    <row r="1931" spans="1:2" ht="15">
      <c r="A1931" s="77" t="s">
        <v>5711</v>
      </c>
      <c r="B1931" s="76" t="s">
        <v>10944</v>
      </c>
    </row>
    <row r="1932" spans="1:2" ht="15">
      <c r="A1932" s="77" t="s">
        <v>5712</v>
      </c>
      <c r="B1932" s="76" t="s">
        <v>10944</v>
      </c>
    </row>
    <row r="1933" spans="1:2" ht="15">
      <c r="A1933" s="77" t="s">
        <v>5713</v>
      </c>
      <c r="B1933" s="76" t="s">
        <v>10944</v>
      </c>
    </row>
    <row r="1934" spans="1:2" ht="15">
      <c r="A1934" s="77" t="s">
        <v>5714</v>
      </c>
      <c r="B1934" s="76" t="s">
        <v>10944</v>
      </c>
    </row>
    <row r="1935" spans="1:2" ht="15">
      <c r="A1935" s="77" t="s">
        <v>5715</v>
      </c>
      <c r="B1935" s="76" t="s">
        <v>10944</v>
      </c>
    </row>
    <row r="1936" spans="1:2" ht="15">
      <c r="A1936" s="77" t="s">
        <v>5716</v>
      </c>
      <c r="B1936" s="76" t="s">
        <v>10944</v>
      </c>
    </row>
    <row r="1937" spans="1:2" ht="15">
      <c r="A1937" s="77" t="s">
        <v>5717</v>
      </c>
      <c r="B1937" s="76" t="s">
        <v>10944</v>
      </c>
    </row>
    <row r="1938" spans="1:2" ht="15">
      <c r="A1938" s="77" t="s">
        <v>5718</v>
      </c>
      <c r="B1938" s="76" t="s">
        <v>10944</v>
      </c>
    </row>
    <row r="1939" spans="1:2" ht="15">
      <c r="A1939" s="77" t="s">
        <v>5719</v>
      </c>
      <c r="B1939" s="76" t="s">
        <v>10944</v>
      </c>
    </row>
    <row r="1940" spans="1:2" ht="15">
      <c r="A1940" s="77" t="s">
        <v>5720</v>
      </c>
      <c r="B1940" s="76" t="s">
        <v>10944</v>
      </c>
    </row>
    <row r="1941" spans="1:2" ht="15">
      <c r="A1941" s="77" t="s">
        <v>5721</v>
      </c>
      <c r="B1941" s="76" t="s">
        <v>10944</v>
      </c>
    </row>
    <row r="1942" spans="1:2" ht="15">
      <c r="A1942" s="77" t="s">
        <v>5722</v>
      </c>
      <c r="B1942" s="76" t="s">
        <v>10944</v>
      </c>
    </row>
    <row r="1943" spans="1:2" ht="15">
      <c r="A1943" s="77" t="s">
        <v>5723</v>
      </c>
      <c r="B1943" s="76" t="s">
        <v>10944</v>
      </c>
    </row>
    <row r="1944" spans="1:2" ht="15">
      <c r="A1944" s="77" t="s">
        <v>5724</v>
      </c>
      <c r="B1944" s="76" t="s">
        <v>10944</v>
      </c>
    </row>
    <row r="1945" spans="1:2" ht="15">
      <c r="A1945" s="77" t="s">
        <v>5725</v>
      </c>
      <c r="B1945" s="76" t="s">
        <v>10944</v>
      </c>
    </row>
    <row r="1946" spans="1:2" ht="15">
      <c r="A1946" s="77" t="s">
        <v>5726</v>
      </c>
      <c r="B1946" s="76" t="s">
        <v>10944</v>
      </c>
    </row>
    <row r="1947" spans="1:2" ht="15">
      <c r="A1947" s="77" t="s">
        <v>5727</v>
      </c>
      <c r="B1947" s="76" t="s">
        <v>10944</v>
      </c>
    </row>
    <row r="1948" spans="1:2" ht="15">
      <c r="A1948" s="77" t="s">
        <v>5728</v>
      </c>
      <c r="B1948" s="76" t="s">
        <v>10944</v>
      </c>
    </row>
    <row r="1949" spans="1:2" ht="15">
      <c r="A1949" s="77" t="s">
        <v>5729</v>
      </c>
      <c r="B1949" s="76" t="s">
        <v>10944</v>
      </c>
    </row>
    <row r="1950" spans="1:2" ht="15">
      <c r="A1950" s="77" t="s">
        <v>5730</v>
      </c>
      <c r="B1950" s="76" t="s">
        <v>10944</v>
      </c>
    </row>
    <row r="1951" spans="1:2" ht="15">
      <c r="A1951" s="77" t="s">
        <v>5731</v>
      </c>
      <c r="B1951" s="76" t="s">
        <v>10944</v>
      </c>
    </row>
    <row r="1952" spans="1:2" ht="15">
      <c r="A1952" s="77" t="s">
        <v>5732</v>
      </c>
      <c r="B1952" s="76" t="s">
        <v>10944</v>
      </c>
    </row>
    <row r="1953" spans="1:2" ht="15">
      <c r="A1953" s="77" t="s">
        <v>3158</v>
      </c>
      <c r="B1953" s="76" t="s">
        <v>10944</v>
      </c>
    </row>
    <row r="1954" spans="1:2" ht="15">
      <c r="A1954" s="77" t="s">
        <v>5733</v>
      </c>
      <c r="B1954" s="76" t="s">
        <v>10944</v>
      </c>
    </row>
    <row r="1955" spans="1:2" ht="15">
      <c r="A1955" s="77" t="s">
        <v>5734</v>
      </c>
      <c r="B1955" s="76" t="s">
        <v>10944</v>
      </c>
    </row>
    <row r="1956" spans="1:2" ht="15">
      <c r="A1956" s="77" t="s">
        <v>5735</v>
      </c>
      <c r="B1956" s="76" t="s">
        <v>10944</v>
      </c>
    </row>
    <row r="1957" spans="1:2" ht="15">
      <c r="A1957" s="77" t="s">
        <v>5736</v>
      </c>
      <c r="B1957" s="76" t="s">
        <v>10944</v>
      </c>
    </row>
    <row r="1958" spans="1:2" ht="15">
      <c r="A1958" s="77" t="s">
        <v>3053</v>
      </c>
      <c r="B1958" s="76" t="s">
        <v>10944</v>
      </c>
    </row>
    <row r="1959" spans="1:2" ht="15">
      <c r="A1959" s="77" t="s">
        <v>5737</v>
      </c>
      <c r="B1959" s="76" t="s">
        <v>10944</v>
      </c>
    </row>
    <row r="1960" spans="1:2" ht="15">
      <c r="A1960" s="77" t="s">
        <v>5738</v>
      </c>
      <c r="B1960" s="76" t="s">
        <v>10944</v>
      </c>
    </row>
    <row r="1961" spans="1:2" ht="15">
      <c r="A1961" s="77" t="s">
        <v>5739</v>
      </c>
      <c r="B1961" s="76" t="s">
        <v>10944</v>
      </c>
    </row>
    <row r="1962" spans="1:2" ht="15">
      <c r="A1962" s="77" t="s">
        <v>5740</v>
      </c>
      <c r="B1962" s="76" t="s">
        <v>10944</v>
      </c>
    </row>
    <row r="1963" spans="1:2" ht="15">
      <c r="A1963" s="77" t="s">
        <v>5741</v>
      </c>
      <c r="B1963" s="76" t="s">
        <v>10944</v>
      </c>
    </row>
    <row r="1964" spans="1:2" ht="15">
      <c r="A1964" s="77" t="s">
        <v>5742</v>
      </c>
      <c r="B1964" s="76" t="s">
        <v>10944</v>
      </c>
    </row>
    <row r="1965" spans="1:2" ht="15">
      <c r="A1965" s="77" t="s">
        <v>5743</v>
      </c>
      <c r="B1965" s="76" t="s">
        <v>10944</v>
      </c>
    </row>
    <row r="1966" spans="1:2" ht="15">
      <c r="A1966" s="77" t="s">
        <v>5744</v>
      </c>
      <c r="B1966" s="76" t="s">
        <v>10944</v>
      </c>
    </row>
    <row r="1967" spans="1:2" ht="15">
      <c r="A1967" s="77" t="s">
        <v>5745</v>
      </c>
      <c r="B1967" s="76" t="s">
        <v>10944</v>
      </c>
    </row>
    <row r="1968" spans="1:2" ht="15">
      <c r="A1968" s="77" t="s">
        <v>5746</v>
      </c>
      <c r="B1968" s="76" t="s">
        <v>10944</v>
      </c>
    </row>
    <row r="1969" spans="1:2" ht="15">
      <c r="A1969" s="77" t="s">
        <v>5747</v>
      </c>
      <c r="B1969" s="76" t="s">
        <v>10944</v>
      </c>
    </row>
    <row r="1970" spans="1:2" ht="15">
      <c r="A1970" s="77" t="s">
        <v>5748</v>
      </c>
      <c r="B1970" s="76" t="s">
        <v>10944</v>
      </c>
    </row>
    <row r="1971" spans="1:2" ht="15">
      <c r="A1971" s="77" t="s">
        <v>5749</v>
      </c>
      <c r="B1971" s="76" t="s">
        <v>10944</v>
      </c>
    </row>
    <row r="1972" spans="1:2" ht="15">
      <c r="A1972" s="77" t="s">
        <v>5750</v>
      </c>
      <c r="B1972" s="76" t="s">
        <v>10944</v>
      </c>
    </row>
    <row r="1973" spans="1:2" ht="15">
      <c r="A1973" s="77" t="s">
        <v>5751</v>
      </c>
      <c r="B1973" s="76" t="s">
        <v>10944</v>
      </c>
    </row>
    <row r="1974" spans="1:2" ht="15">
      <c r="A1974" s="77" t="s">
        <v>3142</v>
      </c>
      <c r="B1974" s="76" t="s">
        <v>10944</v>
      </c>
    </row>
    <row r="1975" spans="1:2" ht="15">
      <c r="A1975" s="77" t="s">
        <v>5752</v>
      </c>
      <c r="B1975" s="76" t="s">
        <v>10944</v>
      </c>
    </row>
    <row r="1976" spans="1:2" ht="15">
      <c r="A1976" s="77" t="s">
        <v>5753</v>
      </c>
      <c r="B1976" s="76" t="s">
        <v>10944</v>
      </c>
    </row>
    <row r="1977" spans="1:2" ht="15">
      <c r="A1977" s="77" t="s">
        <v>5754</v>
      </c>
      <c r="B1977" s="76" t="s">
        <v>10944</v>
      </c>
    </row>
    <row r="1978" spans="1:2" ht="15">
      <c r="A1978" s="77" t="s">
        <v>5755</v>
      </c>
      <c r="B1978" s="76" t="s">
        <v>10944</v>
      </c>
    </row>
    <row r="1979" spans="1:2" ht="15">
      <c r="A1979" s="77" t="s">
        <v>5756</v>
      </c>
      <c r="B1979" s="76" t="s">
        <v>10944</v>
      </c>
    </row>
    <row r="1980" spans="1:2" ht="15">
      <c r="A1980" s="77" t="s">
        <v>5757</v>
      </c>
      <c r="B1980" s="76" t="s">
        <v>10944</v>
      </c>
    </row>
    <row r="1981" spans="1:2" ht="15">
      <c r="A1981" s="77" t="s">
        <v>5758</v>
      </c>
      <c r="B1981" s="76" t="s">
        <v>10944</v>
      </c>
    </row>
    <row r="1982" spans="1:2" ht="15">
      <c r="A1982" s="77" t="s">
        <v>5759</v>
      </c>
      <c r="B1982" s="76" t="s">
        <v>10944</v>
      </c>
    </row>
    <row r="1983" spans="1:2" ht="15">
      <c r="A1983" s="77" t="s">
        <v>5760</v>
      </c>
      <c r="B1983" s="76" t="s">
        <v>10944</v>
      </c>
    </row>
    <row r="1984" spans="1:2" ht="15">
      <c r="A1984" s="77" t="s">
        <v>5761</v>
      </c>
      <c r="B1984" s="76" t="s">
        <v>10944</v>
      </c>
    </row>
    <row r="1985" spans="1:2" ht="15">
      <c r="A1985" s="77" t="s">
        <v>5762</v>
      </c>
      <c r="B1985" s="76" t="s">
        <v>10944</v>
      </c>
    </row>
    <row r="1986" spans="1:2" ht="15">
      <c r="A1986" s="77" t="s">
        <v>5763</v>
      </c>
      <c r="B1986" s="76" t="s">
        <v>10944</v>
      </c>
    </row>
    <row r="1987" spans="1:2" ht="15">
      <c r="A1987" s="77" t="s">
        <v>5764</v>
      </c>
      <c r="B1987" s="76" t="s">
        <v>10944</v>
      </c>
    </row>
    <row r="1988" spans="1:2" ht="15">
      <c r="A1988" s="77" t="s">
        <v>5765</v>
      </c>
      <c r="B1988" s="76" t="s">
        <v>10944</v>
      </c>
    </row>
    <row r="1989" spans="1:2" ht="15">
      <c r="A1989" s="77" t="s">
        <v>5766</v>
      </c>
      <c r="B1989" s="76" t="s">
        <v>10944</v>
      </c>
    </row>
    <row r="1990" spans="1:2" ht="15">
      <c r="A1990" s="77" t="s">
        <v>5767</v>
      </c>
      <c r="B1990" s="76" t="s">
        <v>10944</v>
      </c>
    </row>
    <row r="1991" spans="1:2" ht="15">
      <c r="A1991" s="77" t="s">
        <v>5768</v>
      </c>
      <c r="B1991" s="76" t="s">
        <v>10944</v>
      </c>
    </row>
    <row r="1992" spans="1:2" ht="15">
      <c r="A1992" s="77" t="s">
        <v>5769</v>
      </c>
      <c r="B1992" s="76" t="s">
        <v>10944</v>
      </c>
    </row>
    <row r="1993" spans="1:2" ht="15">
      <c r="A1993" s="77" t="s">
        <v>5770</v>
      </c>
      <c r="B1993" s="76" t="s">
        <v>10944</v>
      </c>
    </row>
    <row r="1994" spans="1:2" ht="15">
      <c r="A1994" s="77" t="s">
        <v>5771</v>
      </c>
      <c r="B1994" s="76" t="s">
        <v>10944</v>
      </c>
    </row>
    <row r="1995" spans="1:2" ht="15">
      <c r="A1995" s="77" t="s">
        <v>3166</v>
      </c>
      <c r="B1995" s="76" t="s">
        <v>10944</v>
      </c>
    </row>
    <row r="1996" spans="1:2" ht="15">
      <c r="A1996" s="77" t="s">
        <v>5772</v>
      </c>
      <c r="B1996" s="76" t="s">
        <v>10944</v>
      </c>
    </row>
    <row r="1997" spans="1:2" ht="15">
      <c r="A1997" s="77" t="s">
        <v>5773</v>
      </c>
      <c r="B1997" s="76" t="s">
        <v>10944</v>
      </c>
    </row>
    <row r="1998" spans="1:2" ht="15">
      <c r="A1998" s="77" t="s">
        <v>5774</v>
      </c>
      <c r="B1998" s="76" t="s">
        <v>10944</v>
      </c>
    </row>
    <row r="1999" spans="1:2" ht="15">
      <c r="A1999" s="77" t="s">
        <v>5775</v>
      </c>
      <c r="B1999" s="76" t="s">
        <v>10944</v>
      </c>
    </row>
    <row r="2000" spans="1:2" ht="15">
      <c r="A2000" s="77" t="s">
        <v>5776</v>
      </c>
      <c r="B2000" s="76" t="s">
        <v>10944</v>
      </c>
    </row>
    <row r="2001" spans="1:2" ht="15">
      <c r="A2001" s="77" t="s">
        <v>5777</v>
      </c>
      <c r="B2001" s="76" t="s">
        <v>10944</v>
      </c>
    </row>
    <row r="2002" spans="1:2" ht="15">
      <c r="A2002" s="77" t="s">
        <v>5778</v>
      </c>
      <c r="B2002" s="76" t="s">
        <v>10944</v>
      </c>
    </row>
    <row r="2003" spans="1:2" ht="15">
      <c r="A2003" s="77" t="s">
        <v>5779</v>
      </c>
      <c r="B2003" s="76" t="s">
        <v>10944</v>
      </c>
    </row>
    <row r="2004" spans="1:2" ht="15">
      <c r="A2004" s="77" t="s">
        <v>5780</v>
      </c>
      <c r="B2004" s="76" t="s">
        <v>10944</v>
      </c>
    </row>
    <row r="2005" spans="1:2" ht="15">
      <c r="A2005" s="77" t="s">
        <v>5781</v>
      </c>
      <c r="B2005" s="76" t="s">
        <v>10944</v>
      </c>
    </row>
    <row r="2006" spans="1:2" ht="15">
      <c r="A2006" s="77" t="s">
        <v>5782</v>
      </c>
      <c r="B2006" s="76" t="s">
        <v>10944</v>
      </c>
    </row>
    <row r="2007" spans="1:2" ht="15">
      <c r="A2007" s="77" t="s">
        <v>5783</v>
      </c>
      <c r="B2007" s="76" t="s">
        <v>10944</v>
      </c>
    </row>
    <row r="2008" spans="1:2" ht="15">
      <c r="A2008" s="77" t="s">
        <v>5784</v>
      </c>
      <c r="B2008" s="76" t="s">
        <v>10944</v>
      </c>
    </row>
    <row r="2009" spans="1:2" ht="15">
      <c r="A2009" s="77" t="s">
        <v>5785</v>
      </c>
      <c r="B2009" s="76" t="s">
        <v>10944</v>
      </c>
    </row>
    <row r="2010" spans="1:2" ht="15">
      <c r="A2010" s="77" t="s">
        <v>5786</v>
      </c>
      <c r="B2010" s="76" t="s">
        <v>10944</v>
      </c>
    </row>
    <row r="2011" spans="1:2" ht="15">
      <c r="A2011" s="77" t="s">
        <v>5787</v>
      </c>
      <c r="B2011" s="76" t="s">
        <v>10944</v>
      </c>
    </row>
    <row r="2012" spans="1:2" ht="15">
      <c r="A2012" s="77" t="s">
        <v>5788</v>
      </c>
      <c r="B2012" s="76" t="s">
        <v>10944</v>
      </c>
    </row>
    <row r="2013" spans="1:2" ht="15">
      <c r="A2013" s="77" t="s">
        <v>5789</v>
      </c>
      <c r="B2013" s="76" t="s">
        <v>10944</v>
      </c>
    </row>
    <row r="2014" spans="1:2" ht="15">
      <c r="A2014" s="77" t="s">
        <v>5790</v>
      </c>
      <c r="B2014" s="76" t="s">
        <v>10944</v>
      </c>
    </row>
    <row r="2015" spans="1:2" ht="15">
      <c r="A2015" s="77" t="s">
        <v>5791</v>
      </c>
      <c r="B2015" s="76" t="s">
        <v>10944</v>
      </c>
    </row>
    <row r="2016" spans="1:2" ht="15">
      <c r="A2016" s="77" t="s">
        <v>5792</v>
      </c>
      <c r="B2016" s="76" t="s">
        <v>10944</v>
      </c>
    </row>
    <row r="2017" spans="1:2" ht="15">
      <c r="A2017" s="77" t="s">
        <v>5793</v>
      </c>
      <c r="B2017" s="76" t="s">
        <v>10944</v>
      </c>
    </row>
    <row r="2018" spans="1:2" ht="15">
      <c r="A2018" s="77" t="s">
        <v>5794</v>
      </c>
      <c r="B2018" s="76" t="s">
        <v>10944</v>
      </c>
    </row>
    <row r="2019" spans="1:2" ht="15">
      <c r="A2019" s="77" t="s">
        <v>5795</v>
      </c>
      <c r="B2019" s="76" t="s">
        <v>10944</v>
      </c>
    </row>
    <row r="2020" spans="1:2" ht="15">
      <c r="A2020" s="77" t="s">
        <v>5796</v>
      </c>
      <c r="B2020" s="76" t="s">
        <v>10944</v>
      </c>
    </row>
    <row r="2021" spans="1:2" ht="15">
      <c r="A2021" s="77" t="s">
        <v>5797</v>
      </c>
      <c r="B2021" s="76" t="s">
        <v>10944</v>
      </c>
    </row>
    <row r="2022" spans="1:2" ht="15">
      <c r="A2022" s="77" t="s">
        <v>5798</v>
      </c>
      <c r="B2022" s="76" t="s">
        <v>10944</v>
      </c>
    </row>
    <row r="2023" spans="1:2" ht="15">
      <c r="A2023" s="77" t="s">
        <v>5799</v>
      </c>
      <c r="B2023" s="76" t="s">
        <v>10944</v>
      </c>
    </row>
    <row r="2024" spans="1:2" ht="15">
      <c r="A2024" s="77" t="s">
        <v>5800</v>
      </c>
      <c r="B2024" s="76" t="s">
        <v>10944</v>
      </c>
    </row>
    <row r="2025" spans="1:2" ht="15">
      <c r="A2025" s="77" t="s">
        <v>5801</v>
      </c>
      <c r="B2025" s="76" t="s">
        <v>10944</v>
      </c>
    </row>
    <row r="2026" spans="1:2" ht="15">
      <c r="A2026" s="77" t="s">
        <v>5802</v>
      </c>
      <c r="B2026" s="76" t="s">
        <v>10944</v>
      </c>
    </row>
    <row r="2027" spans="1:2" ht="15">
      <c r="A2027" s="77" t="s">
        <v>5803</v>
      </c>
      <c r="B2027" s="76" t="s">
        <v>10944</v>
      </c>
    </row>
    <row r="2028" spans="1:2" ht="15">
      <c r="A2028" s="77" t="s">
        <v>5804</v>
      </c>
      <c r="B2028" s="76" t="s">
        <v>10944</v>
      </c>
    </row>
    <row r="2029" spans="1:2" ht="15">
      <c r="A2029" s="77" t="s">
        <v>5805</v>
      </c>
      <c r="B2029" s="76" t="s">
        <v>10944</v>
      </c>
    </row>
    <row r="2030" spans="1:2" ht="15">
      <c r="A2030" s="77" t="s">
        <v>5806</v>
      </c>
      <c r="B2030" s="76" t="s">
        <v>10944</v>
      </c>
    </row>
    <row r="2031" spans="1:2" ht="15">
      <c r="A2031" s="77" t="s">
        <v>5807</v>
      </c>
      <c r="B2031" s="76" t="s">
        <v>10944</v>
      </c>
    </row>
    <row r="2032" spans="1:2" ht="15">
      <c r="A2032" s="77" t="s">
        <v>5808</v>
      </c>
      <c r="B2032" s="76" t="s">
        <v>10944</v>
      </c>
    </row>
    <row r="2033" spans="1:2" ht="15">
      <c r="A2033" s="77" t="s">
        <v>5809</v>
      </c>
      <c r="B2033" s="76" t="s">
        <v>10944</v>
      </c>
    </row>
    <row r="2034" spans="1:2" ht="15">
      <c r="A2034" s="77" t="s">
        <v>5810</v>
      </c>
      <c r="B2034" s="76" t="s">
        <v>10944</v>
      </c>
    </row>
    <row r="2035" spans="1:2" ht="15">
      <c r="A2035" s="77" t="s">
        <v>5811</v>
      </c>
      <c r="B2035" s="76" t="s">
        <v>10944</v>
      </c>
    </row>
    <row r="2036" spans="1:2" ht="15">
      <c r="A2036" s="77" t="s">
        <v>5812</v>
      </c>
      <c r="B2036" s="76" t="s">
        <v>10944</v>
      </c>
    </row>
    <row r="2037" spans="1:2" ht="15">
      <c r="A2037" s="77" t="s">
        <v>5813</v>
      </c>
      <c r="B2037" s="76" t="s">
        <v>10944</v>
      </c>
    </row>
    <row r="2038" spans="1:2" ht="15">
      <c r="A2038" s="77" t="s">
        <v>5814</v>
      </c>
      <c r="B2038" s="76" t="s">
        <v>10944</v>
      </c>
    </row>
    <row r="2039" spans="1:2" ht="15">
      <c r="A2039" s="77" t="s">
        <v>5815</v>
      </c>
      <c r="B2039" s="76" t="s">
        <v>10944</v>
      </c>
    </row>
    <row r="2040" spans="1:2" ht="15">
      <c r="A2040" s="77" t="s">
        <v>5816</v>
      </c>
      <c r="B2040" s="76" t="s">
        <v>10944</v>
      </c>
    </row>
    <row r="2041" spans="1:2" ht="15">
      <c r="A2041" s="77" t="s">
        <v>5817</v>
      </c>
      <c r="B2041" s="76" t="s">
        <v>10944</v>
      </c>
    </row>
    <row r="2042" spans="1:2" ht="15">
      <c r="A2042" s="77" t="s">
        <v>5818</v>
      </c>
      <c r="B2042" s="76" t="s">
        <v>10944</v>
      </c>
    </row>
    <row r="2043" spans="1:2" ht="15">
      <c r="A2043" s="77" t="s">
        <v>5819</v>
      </c>
      <c r="B2043" s="76" t="s">
        <v>10944</v>
      </c>
    </row>
    <row r="2044" spans="1:2" ht="15">
      <c r="A2044" s="77" t="s">
        <v>5820</v>
      </c>
      <c r="B2044" s="76" t="s">
        <v>10944</v>
      </c>
    </row>
    <row r="2045" spans="1:2" ht="15">
      <c r="A2045" s="77" t="s">
        <v>5821</v>
      </c>
      <c r="B2045" s="76" t="s">
        <v>10944</v>
      </c>
    </row>
    <row r="2046" spans="1:2" ht="15">
      <c r="A2046" s="77" t="s">
        <v>5822</v>
      </c>
      <c r="B2046" s="76" t="s">
        <v>10944</v>
      </c>
    </row>
    <row r="2047" spans="1:2" ht="15">
      <c r="A2047" s="77" t="s">
        <v>5823</v>
      </c>
      <c r="B2047" s="76" t="s">
        <v>10944</v>
      </c>
    </row>
    <row r="2048" spans="1:2" ht="15">
      <c r="A2048" s="77" t="s">
        <v>5824</v>
      </c>
      <c r="B2048" s="76" t="s">
        <v>10944</v>
      </c>
    </row>
    <row r="2049" spans="1:2" ht="15">
      <c r="A2049" s="77" t="s">
        <v>5825</v>
      </c>
      <c r="B2049" s="76" t="s">
        <v>10944</v>
      </c>
    </row>
    <row r="2050" spans="1:2" ht="15">
      <c r="A2050" s="77" t="s">
        <v>5826</v>
      </c>
      <c r="B2050" s="76" t="s">
        <v>10944</v>
      </c>
    </row>
    <row r="2051" spans="1:2" ht="15">
      <c r="A2051" s="77" t="s">
        <v>5827</v>
      </c>
      <c r="B2051" s="76" t="s">
        <v>10944</v>
      </c>
    </row>
    <row r="2052" spans="1:2" ht="15">
      <c r="A2052" s="77" t="s">
        <v>5828</v>
      </c>
      <c r="B2052" s="76" t="s">
        <v>10944</v>
      </c>
    </row>
    <row r="2053" spans="1:2" ht="15">
      <c r="A2053" s="77" t="s">
        <v>5829</v>
      </c>
      <c r="B2053" s="76" t="s">
        <v>10944</v>
      </c>
    </row>
    <row r="2054" spans="1:2" ht="15">
      <c r="A2054" s="77" t="s">
        <v>5830</v>
      </c>
      <c r="B2054" s="76" t="s">
        <v>10944</v>
      </c>
    </row>
    <row r="2055" spans="1:2" ht="15">
      <c r="A2055" s="77" t="s">
        <v>5831</v>
      </c>
      <c r="B2055" s="76" t="s">
        <v>10944</v>
      </c>
    </row>
    <row r="2056" spans="1:2" ht="15">
      <c r="A2056" s="77" t="s">
        <v>5832</v>
      </c>
      <c r="B2056" s="76" t="s">
        <v>10944</v>
      </c>
    </row>
    <row r="2057" spans="1:2" ht="15">
      <c r="A2057" s="77" t="s">
        <v>5833</v>
      </c>
      <c r="B2057" s="76" t="s">
        <v>10944</v>
      </c>
    </row>
    <row r="2058" spans="1:2" ht="15">
      <c r="A2058" s="77" t="s">
        <v>5834</v>
      </c>
      <c r="B2058" s="76" t="s">
        <v>10944</v>
      </c>
    </row>
    <row r="2059" spans="1:2" ht="15">
      <c r="A2059" s="77" t="s">
        <v>5835</v>
      </c>
      <c r="B2059" s="76" t="s">
        <v>10944</v>
      </c>
    </row>
    <row r="2060" spans="1:2" ht="15">
      <c r="A2060" s="77" t="s">
        <v>5836</v>
      </c>
      <c r="B2060" s="76" t="s">
        <v>10944</v>
      </c>
    </row>
    <row r="2061" spans="1:2" ht="15">
      <c r="A2061" s="77" t="s">
        <v>2477</v>
      </c>
      <c r="B2061" s="76" t="s">
        <v>10944</v>
      </c>
    </row>
    <row r="2062" spans="1:2" ht="15">
      <c r="A2062" s="77" t="s">
        <v>5837</v>
      </c>
      <c r="B2062" s="76" t="s">
        <v>10944</v>
      </c>
    </row>
    <row r="2063" spans="1:2" ht="15">
      <c r="A2063" s="77" t="s">
        <v>5838</v>
      </c>
      <c r="B2063" s="76" t="s">
        <v>10944</v>
      </c>
    </row>
    <row r="2064" spans="1:2" ht="15">
      <c r="A2064" s="77" t="s">
        <v>5839</v>
      </c>
      <c r="B2064" s="76" t="s">
        <v>10944</v>
      </c>
    </row>
    <row r="2065" spans="1:2" ht="15">
      <c r="A2065" s="77" t="s">
        <v>5840</v>
      </c>
      <c r="B2065" s="76" t="s">
        <v>10944</v>
      </c>
    </row>
    <row r="2066" spans="1:2" ht="15">
      <c r="A2066" s="77" t="s">
        <v>5841</v>
      </c>
      <c r="B2066" s="76" t="s">
        <v>10944</v>
      </c>
    </row>
    <row r="2067" spans="1:2" ht="15">
      <c r="A2067" s="77" t="s">
        <v>5842</v>
      </c>
      <c r="B2067" s="76" t="s">
        <v>10944</v>
      </c>
    </row>
    <row r="2068" spans="1:2" ht="15">
      <c r="A2068" s="77" t="s">
        <v>5843</v>
      </c>
      <c r="B2068" s="76" t="s">
        <v>10944</v>
      </c>
    </row>
    <row r="2069" spans="1:2" ht="15">
      <c r="A2069" s="77" t="s">
        <v>5844</v>
      </c>
      <c r="B2069" s="76" t="s">
        <v>10944</v>
      </c>
    </row>
    <row r="2070" spans="1:2" ht="15">
      <c r="A2070" s="77" t="s">
        <v>5845</v>
      </c>
      <c r="B2070" s="76" t="s">
        <v>10944</v>
      </c>
    </row>
    <row r="2071" spans="1:2" ht="15">
      <c r="A2071" s="77" t="s">
        <v>5846</v>
      </c>
      <c r="B2071" s="76" t="s">
        <v>10944</v>
      </c>
    </row>
    <row r="2072" spans="1:2" ht="15">
      <c r="A2072" s="77" t="s">
        <v>5847</v>
      </c>
      <c r="B2072" s="76" t="s">
        <v>10944</v>
      </c>
    </row>
    <row r="2073" spans="1:2" ht="15">
      <c r="A2073" s="77" t="s">
        <v>5848</v>
      </c>
      <c r="B2073" s="76" t="s">
        <v>10944</v>
      </c>
    </row>
    <row r="2074" spans="1:2" ht="15">
      <c r="A2074" s="77" t="s">
        <v>5849</v>
      </c>
      <c r="B2074" s="76" t="s">
        <v>10944</v>
      </c>
    </row>
    <row r="2075" spans="1:2" ht="15">
      <c r="A2075" s="77" t="s">
        <v>5850</v>
      </c>
      <c r="B2075" s="76" t="s">
        <v>10944</v>
      </c>
    </row>
    <row r="2076" spans="1:2" ht="15">
      <c r="A2076" s="77" t="s">
        <v>5851</v>
      </c>
      <c r="B2076" s="76" t="s">
        <v>10944</v>
      </c>
    </row>
    <row r="2077" spans="1:2" ht="15">
      <c r="A2077" s="77" t="s">
        <v>5852</v>
      </c>
      <c r="B2077" s="76" t="s">
        <v>10944</v>
      </c>
    </row>
    <row r="2078" spans="1:2" ht="15">
      <c r="A2078" s="77" t="s">
        <v>5853</v>
      </c>
      <c r="B2078" s="76" t="s">
        <v>10944</v>
      </c>
    </row>
    <row r="2079" spans="1:2" ht="15">
      <c r="A2079" s="77" t="s">
        <v>5854</v>
      </c>
      <c r="B2079" s="76" t="s">
        <v>10944</v>
      </c>
    </row>
    <row r="2080" spans="1:2" ht="15">
      <c r="A2080" s="77" t="s">
        <v>5855</v>
      </c>
      <c r="B2080" s="76" t="s">
        <v>10944</v>
      </c>
    </row>
    <row r="2081" spans="1:2" ht="15">
      <c r="A2081" s="77" t="s">
        <v>5856</v>
      </c>
      <c r="B2081" s="76" t="s">
        <v>10944</v>
      </c>
    </row>
    <row r="2082" spans="1:2" ht="15">
      <c r="A2082" s="77" t="s">
        <v>3263</v>
      </c>
      <c r="B2082" s="76" t="s">
        <v>10944</v>
      </c>
    </row>
    <row r="2083" spans="1:2" ht="15">
      <c r="A2083" s="77" t="s">
        <v>5857</v>
      </c>
      <c r="B2083" s="76" t="s">
        <v>10944</v>
      </c>
    </row>
    <row r="2084" spans="1:2" ht="15">
      <c r="A2084" s="77" t="s">
        <v>5858</v>
      </c>
      <c r="B2084" s="76" t="s">
        <v>10944</v>
      </c>
    </row>
    <row r="2085" spans="1:2" ht="15">
      <c r="A2085" s="77" t="s">
        <v>5859</v>
      </c>
      <c r="B2085" s="76" t="s">
        <v>10944</v>
      </c>
    </row>
    <row r="2086" spans="1:2" ht="15">
      <c r="A2086" s="77" t="s">
        <v>5860</v>
      </c>
      <c r="B2086" s="76" t="s">
        <v>10944</v>
      </c>
    </row>
    <row r="2087" spans="1:2" ht="15">
      <c r="A2087" s="77" t="s">
        <v>5861</v>
      </c>
      <c r="B2087" s="76" t="s">
        <v>10944</v>
      </c>
    </row>
    <row r="2088" spans="1:2" ht="15">
      <c r="A2088" s="77" t="s">
        <v>5862</v>
      </c>
      <c r="B2088" s="76" t="s">
        <v>10944</v>
      </c>
    </row>
    <row r="2089" spans="1:2" ht="15">
      <c r="A2089" s="77" t="s">
        <v>5863</v>
      </c>
      <c r="B2089" s="76" t="s">
        <v>10944</v>
      </c>
    </row>
    <row r="2090" spans="1:2" ht="15">
      <c r="A2090" s="77" t="s">
        <v>5864</v>
      </c>
      <c r="B2090" s="76" t="s">
        <v>10944</v>
      </c>
    </row>
    <row r="2091" spans="1:2" ht="15">
      <c r="A2091" s="77" t="s">
        <v>5865</v>
      </c>
      <c r="B2091" s="76" t="s">
        <v>10944</v>
      </c>
    </row>
    <row r="2092" spans="1:2" ht="15">
      <c r="A2092" s="77" t="s">
        <v>5866</v>
      </c>
      <c r="B2092" s="76" t="s">
        <v>10944</v>
      </c>
    </row>
    <row r="2093" spans="1:2" ht="15">
      <c r="A2093" s="77" t="s">
        <v>5867</v>
      </c>
      <c r="B2093" s="76" t="s">
        <v>10944</v>
      </c>
    </row>
    <row r="2094" spans="1:2" ht="15">
      <c r="A2094" s="77" t="s">
        <v>5868</v>
      </c>
      <c r="B2094" s="76" t="s">
        <v>10944</v>
      </c>
    </row>
    <row r="2095" spans="1:2" ht="15">
      <c r="A2095" s="77" t="s">
        <v>5869</v>
      </c>
      <c r="B2095" s="76" t="s">
        <v>10944</v>
      </c>
    </row>
    <row r="2096" spans="1:2" ht="15">
      <c r="A2096" s="77" t="s">
        <v>5870</v>
      </c>
      <c r="B2096" s="76" t="s">
        <v>10944</v>
      </c>
    </row>
    <row r="2097" spans="1:2" ht="15">
      <c r="A2097" s="77" t="s">
        <v>5871</v>
      </c>
      <c r="B2097" s="76" t="s">
        <v>10944</v>
      </c>
    </row>
    <row r="2098" spans="1:2" ht="15">
      <c r="A2098" s="77" t="s">
        <v>5872</v>
      </c>
      <c r="B2098" s="76" t="s">
        <v>10944</v>
      </c>
    </row>
    <row r="2099" spans="1:2" ht="15">
      <c r="A2099" s="77" t="s">
        <v>5873</v>
      </c>
      <c r="B2099" s="76" t="s">
        <v>10944</v>
      </c>
    </row>
    <row r="2100" spans="1:2" ht="15">
      <c r="A2100" s="77" t="s">
        <v>5874</v>
      </c>
      <c r="B2100" s="76" t="s">
        <v>10944</v>
      </c>
    </row>
    <row r="2101" spans="1:2" ht="15">
      <c r="A2101" s="77" t="s">
        <v>5875</v>
      </c>
      <c r="B2101" s="76" t="s">
        <v>10944</v>
      </c>
    </row>
    <row r="2102" spans="1:2" ht="15">
      <c r="A2102" s="77" t="s">
        <v>5876</v>
      </c>
      <c r="B2102" s="76" t="s">
        <v>10944</v>
      </c>
    </row>
    <row r="2103" spans="1:2" ht="15">
      <c r="A2103" s="77" t="s">
        <v>5877</v>
      </c>
      <c r="B2103" s="76" t="s">
        <v>10944</v>
      </c>
    </row>
    <row r="2104" spans="1:2" ht="15">
      <c r="A2104" s="77" t="s">
        <v>5878</v>
      </c>
      <c r="B2104" s="76" t="s">
        <v>10944</v>
      </c>
    </row>
    <row r="2105" spans="1:2" ht="15">
      <c r="A2105" s="77" t="s">
        <v>5879</v>
      </c>
      <c r="B2105" s="76" t="s">
        <v>10944</v>
      </c>
    </row>
    <row r="2106" spans="1:2" ht="15">
      <c r="A2106" s="77" t="s">
        <v>5880</v>
      </c>
      <c r="B2106" s="76" t="s">
        <v>10944</v>
      </c>
    </row>
    <row r="2107" spans="1:2" ht="15">
      <c r="A2107" s="77" t="s">
        <v>5881</v>
      </c>
      <c r="B2107" s="76" t="s">
        <v>10944</v>
      </c>
    </row>
    <row r="2108" spans="1:2" ht="15">
      <c r="A2108" s="77" t="s">
        <v>5882</v>
      </c>
      <c r="B2108" s="76" t="s">
        <v>10944</v>
      </c>
    </row>
    <row r="2109" spans="1:2" ht="15">
      <c r="A2109" s="77" t="s">
        <v>5883</v>
      </c>
      <c r="B2109" s="76" t="s">
        <v>10944</v>
      </c>
    </row>
    <row r="2110" spans="1:2" ht="15">
      <c r="A2110" s="77" t="s">
        <v>5884</v>
      </c>
      <c r="B2110" s="76" t="s">
        <v>10944</v>
      </c>
    </row>
    <row r="2111" spans="1:2" ht="15">
      <c r="A2111" s="77" t="s">
        <v>5885</v>
      </c>
      <c r="B2111" s="76" t="s">
        <v>10944</v>
      </c>
    </row>
    <row r="2112" spans="1:2" ht="15">
      <c r="A2112" s="77" t="s">
        <v>5886</v>
      </c>
      <c r="B2112" s="76" t="s">
        <v>10944</v>
      </c>
    </row>
    <row r="2113" spans="1:2" ht="15">
      <c r="A2113" s="77" t="s">
        <v>5887</v>
      </c>
      <c r="B2113" s="76" t="s">
        <v>10944</v>
      </c>
    </row>
    <row r="2114" spans="1:2" ht="15">
      <c r="A2114" s="77" t="s">
        <v>5888</v>
      </c>
      <c r="B2114" s="76" t="s">
        <v>10944</v>
      </c>
    </row>
    <row r="2115" spans="1:2" ht="15">
      <c r="A2115" s="77" t="s">
        <v>5889</v>
      </c>
      <c r="B2115" s="76" t="s">
        <v>10944</v>
      </c>
    </row>
    <row r="2116" spans="1:2" ht="15">
      <c r="A2116" s="77" t="s">
        <v>5890</v>
      </c>
      <c r="B2116" s="76" t="s">
        <v>10944</v>
      </c>
    </row>
    <row r="2117" spans="1:2" ht="15">
      <c r="A2117" s="77" t="s">
        <v>5891</v>
      </c>
      <c r="B2117" s="76" t="s">
        <v>10944</v>
      </c>
    </row>
    <row r="2118" spans="1:2" ht="15">
      <c r="A2118" s="77" t="s">
        <v>5892</v>
      </c>
      <c r="B2118" s="76" t="s">
        <v>10944</v>
      </c>
    </row>
    <row r="2119" spans="1:2" ht="15">
      <c r="A2119" s="77" t="s">
        <v>5893</v>
      </c>
      <c r="B2119" s="76" t="s">
        <v>10944</v>
      </c>
    </row>
    <row r="2120" spans="1:2" ht="15">
      <c r="A2120" s="77" t="s">
        <v>5894</v>
      </c>
      <c r="B2120" s="76" t="s">
        <v>10944</v>
      </c>
    </row>
    <row r="2121" spans="1:2" ht="15">
      <c r="A2121" s="77" t="s">
        <v>5895</v>
      </c>
      <c r="B2121" s="76" t="s">
        <v>10944</v>
      </c>
    </row>
    <row r="2122" spans="1:2" ht="15">
      <c r="A2122" s="77" t="s">
        <v>5896</v>
      </c>
      <c r="B2122" s="76" t="s">
        <v>10944</v>
      </c>
    </row>
    <row r="2123" spans="1:2" ht="15">
      <c r="A2123" s="77" t="s">
        <v>5897</v>
      </c>
      <c r="B2123" s="76" t="s">
        <v>10944</v>
      </c>
    </row>
    <row r="2124" spans="1:2" ht="15">
      <c r="A2124" s="77" t="s">
        <v>5898</v>
      </c>
      <c r="B2124" s="76" t="s">
        <v>10944</v>
      </c>
    </row>
    <row r="2125" spans="1:2" ht="15">
      <c r="A2125" s="77" t="s">
        <v>5899</v>
      </c>
      <c r="B2125" s="76" t="s">
        <v>10944</v>
      </c>
    </row>
    <row r="2126" spans="1:2" ht="15">
      <c r="A2126" s="77" t="s">
        <v>5900</v>
      </c>
      <c r="B2126" s="76" t="s">
        <v>10944</v>
      </c>
    </row>
    <row r="2127" spans="1:2" ht="15">
      <c r="A2127" s="77" t="s">
        <v>5901</v>
      </c>
      <c r="B2127" s="76" t="s">
        <v>10944</v>
      </c>
    </row>
    <row r="2128" spans="1:2" ht="15">
      <c r="A2128" s="77" t="s">
        <v>5902</v>
      </c>
      <c r="B2128" s="76" t="s">
        <v>10944</v>
      </c>
    </row>
    <row r="2129" spans="1:2" ht="15">
      <c r="A2129" s="77" t="s">
        <v>3465</v>
      </c>
      <c r="B2129" s="76" t="s">
        <v>10944</v>
      </c>
    </row>
    <row r="2130" spans="1:2" ht="15">
      <c r="A2130" s="77" t="s">
        <v>5903</v>
      </c>
      <c r="B2130" s="76" t="s">
        <v>10944</v>
      </c>
    </row>
    <row r="2131" spans="1:2" ht="15">
      <c r="A2131" s="77" t="s">
        <v>5904</v>
      </c>
      <c r="B2131" s="76" t="s">
        <v>10944</v>
      </c>
    </row>
    <row r="2132" spans="1:2" ht="15">
      <c r="A2132" s="77" t="s">
        <v>5905</v>
      </c>
      <c r="B2132" s="76" t="s">
        <v>10944</v>
      </c>
    </row>
    <row r="2133" spans="1:2" ht="15">
      <c r="A2133" s="77" t="s">
        <v>5906</v>
      </c>
      <c r="B2133" s="76" t="s">
        <v>10944</v>
      </c>
    </row>
    <row r="2134" spans="1:2" ht="15">
      <c r="A2134" s="77" t="s">
        <v>5907</v>
      </c>
      <c r="B2134" s="76" t="s">
        <v>10944</v>
      </c>
    </row>
    <row r="2135" spans="1:2" ht="15">
      <c r="A2135" s="77" t="s">
        <v>5908</v>
      </c>
      <c r="B2135" s="76" t="s">
        <v>10944</v>
      </c>
    </row>
    <row r="2136" spans="1:2" ht="15">
      <c r="A2136" s="77" t="s">
        <v>5909</v>
      </c>
      <c r="B2136" s="76" t="s">
        <v>10944</v>
      </c>
    </row>
    <row r="2137" spans="1:2" ht="15">
      <c r="A2137" s="77" t="s">
        <v>5910</v>
      </c>
      <c r="B2137" s="76" t="s">
        <v>10944</v>
      </c>
    </row>
    <row r="2138" spans="1:2" ht="15">
      <c r="A2138" s="77" t="s">
        <v>5911</v>
      </c>
      <c r="B2138" s="76" t="s">
        <v>10944</v>
      </c>
    </row>
    <row r="2139" spans="1:2" ht="15">
      <c r="A2139" s="77" t="s">
        <v>5912</v>
      </c>
      <c r="B2139" s="76" t="s">
        <v>10944</v>
      </c>
    </row>
    <row r="2140" spans="1:2" ht="15">
      <c r="A2140" s="77" t="s">
        <v>5913</v>
      </c>
      <c r="B2140" s="76" t="s">
        <v>10944</v>
      </c>
    </row>
    <row r="2141" spans="1:2" ht="15">
      <c r="A2141" s="77" t="s">
        <v>5914</v>
      </c>
      <c r="B2141" s="76" t="s">
        <v>10944</v>
      </c>
    </row>
    <row r="2142" spans="1:2" ht="15">
      <c r="A2142" s="77" t="s">
        <v>5915</v>
      </c>
      <c r="B2142" s="76" t="s">
        <v>10944</v>
      </c>
    </row>
    <row r="2143" spans="1:2" ht="15">
      <c r="A2143" s="77" t="s">
        <v>5916</v>
      </c>
      <c r="B2143" s="76" t="s">
        <v>10944</v>
      </c>
    </row>
    <row r="2144" spans="1:2" ht="15">
      <c r="A2144" s="77" t="s">
        <v>5917</v>
      </c>
      <c r="B2144" s="76" t="s">
        <v>10944</v>
      </c>
    </row>
    <row r="2145" spans="1:2" ht="15">
      <c r="A2145" s="77" t="s">
        <v>5918</v>
      </c>
      <c r="B2145" s="76" t="s">
        <v>10944</v>
      </c>
    </row>
    <row r="2146" spans="1:2" ht="15">
      <c r="A2146" s="77" t="s">
        <v>5919</v>
      </c>
      <c r="B2146" s="76" t="s">
        <v>10944</v>
      </c>
    </row>
    <row r="2147" spans="1:2" ht="15">
      <c r="A2147" s="77" t="s">
        <v>5920</v>
      </c>
      <c r="B2147" s="76" t="s">
        <v>10944</v>
      </c>
    </row>
    <row r="2148" spans="1:2" ht="15">
      <c r="A2148" s="77" t="s">
        <v>5921</v>
      </c>
      <c r="B2148" s="76" t="s">
        <v>10944</v>
      </c>
    </row>
    <row r="2149" spans="1:2" ht="15">
      <c r="A2149" s="77" t="s">
        <v>5922</v>
      </c>
      <c r="B2149" s="76" t="s">
        <v>10944</v>
      </c>
    </row>
    <row r="2150" spans="1:2" ht="15">
      <c r="A2150" s="77" t="s">
        <v>5923</v>
      </c>
      <c r="B2150" s="76" t="s">
        <v>10944</v>
      </c>
    </row>
    <row r="2151" spans="1:2" ht="15">
      <c r="A2151" s="77" t="s">
        <v>5924</v>
      </c>
      <c r="B2151" s="76" t="s">
        <v>10944</v>
      </c>
    </row>
    <row r="2152" spans="1:2" ht="15">
      <c r="A2152" s="77" t="s">
        <v>5925</v>
      </c>
      <c r="B2152" s="76" t="s">
        <v>10944</v>
      </c>
    </row>
    <row r="2153" spans="1:2" ht="15">
      <c r="A2153" s="77" t="s">
        <v>5926</v>
      </c>
      <c r="B2153" s="76" t="s">
        <v>10944</v>
      </c>
    </row>
    <row r="2154" spans="1:2" ht="15">
      <c r="A2154" s="77" t="s">
        <v>5927</v>
      </c>
      <c r="B2154" s="76" t="s">
        <v>10944</v>
      </c>
    </row>
    <row r="2155" spans="1:2" ht="15">
      <c r="A2155" s="77" t="s">
        <v>5928</v>
      </c>
      <c r="B2155" s="76" t="s">
        <v>10944</v>
      </c>
    </row>
    <row r="2156" spans="1:2" ht="15">
      <c r="A2156" s="77" t="s">
        <v>5929</v>
      </c>
      <c r="B2156" s="76" t="s">
        <v>10944</v>
      </c>
    </row>
    <row r="2157" spans="1:2" ht="15">
      <c r="A2157" s="77" t="s">
        <v>5930</v>
      </c>
      <c r="B2157" s="76" t="s">
        <v>10944</v>
      </c>
    </row>
    <row r="2158" spans="1:2" ht="15">
      <c r="A2158" s="77" t="s">
        <v>5931</v>
      </c>
      <c r="B2158" s="76" t="s">
        <v>10944</v>
      </c>
    </row>
    <row r="2159" spans="1:2" ht="15">
      <c r="A2159" s="77" t="s">
        <v>5932</v>
      </c>
      <c r="B2159" s="76" t="s">
        <v>10944</v>
      </c>
    </row>
    <row r="2160" spans="1:2" ht="15">
      <c r="A2160" s="77" t="s">
        <v>5933</v>
      </c>
      <c r="B2160" s="76" t="s">
        <v>10944</v>
      </c>
    </row>
    <row r="2161" spans="1:2" ht="15">
      <c r="A2161" s="77" t="s">
        <v>5934</v>
      </c>
      <c r="B2161" s="76" t="s">
        <v>10944</v>
      </c>
    </row>
    <row r="2162" spans="1:2" ht="15">
      <c r="A2162" s="77" t="s">
        <v>5935</v>
      </c>
      <c r="B2162" s="76" t="s">
        <v>10944</v>
      </c>
    </row>
    <row r="2163" spans="1:2" ht="15">
      <c r="A2163" s="77" t="s">
        <v>5936</v>
      </c>
      <c r="B2163" s="76" t="s">
        <v>10944</v>
      </c>
    </row>
    <row r="2164" spans="1:2" ht="15">
      <c r="A2164" s="77" t="s">
        <v>5937</v>
      </c>
      <c r="B2164" s="76" t="s">
        <v>10944</v>
      </c>
    </row>
    <row r="2165" spans="1:2" ht="15">
      <c r="A2165" s="77" t="s">
        <v>5938</v>
      </c>
      <c r="B2165" s="76" t="s">
        <v>10944</v>
      </c>
    </row>
    <row r="2166" spans="1:2" ht="15">
      <c r="A2166" s="77" t="s">
        <v>5939</v>
      </c>
      <c r="B2166" s="76" t="s">
        <v>10944</v>
      </c>
    </row>
    <row r="2167" spans="1:2" ht="15">
      <c r="A2167" s="77" t="s">
        <v>5940</v>
      </c>
      <c r="B2167" s="76" t="s">
        <v>10944</v>
      </c>
    </row>
    <row r="2168" spans="1:2" ht="15">
      <c r="A2168" s="77" t="s">
        <v>5941</v>
      </c>
      <c r="B2168" s="76" t="s">
        <v>10944</v>
      </c>
    </row>
    <row r="2169" spans="1:2" ht="15">
      <c r="A2169" s="77" t="s">
        <v>5942</v>
      </c>
      <c r="B2169" s="76" t="s">
        <v>10944</v>
      </c>
    </row>
    <row r="2170" spans="1:2" ht="15">
      <c r="A2170" s="77" t="s">
        <v>5943</v>
      </c>
      <c r="B2170" s="76" t="s">
        <v>10944</v>
      </c>
    </row>
    <row r="2171" spans="1:2" ht="15">
      <c r="A2171" s="77" t="s">
        <v>5944</v>
      </c>
      <c r="B2171" s="76" t="s">
        <v>10944</v>
      </c>
    </row>
    <row r="2172" spans="1:2" ht="15">
      <c r="A2172" s="77" t="s">
        <v>5945</v>
      </c>
      <c r="B2172" s="76" t="s">
        <v>10944</v>
      </c>
    </row>
    <row r="2173" spans="1:2" ht="15">
      <c r="A2173" s="77" t="s">
        <v>5946</v>
      </c>
      <c r="B2173" s="76" t="s">
        <v>10944</v>
      </c>
    </row>
    <row r="2174" spans="1:2" ht="15">
      <c r="A2174" s="77" t="s">
        <v>5947</v>
      </c>
      <c r="B2174" s="76" t="s">
        <v>10944</v>
      </c>
    </row>
    <row r="2175" spans="1:2" ht="15">
      <c r="A2175" s="77" t="s">
        <v>5948</v>
      </c>
      <c r="B2175" s="76" t="s">
        <v>10944</v>
      </c>
    </row>
    <row r="2176" spans="1:2" ht="15">
      <c r="A2176" s="77" t="s">
        <v>5949</v>
      </c>
      <c r="B2176" s="76" t="s">
        <v>10944</v>
      </c>
    </row>
    <row r="2177" spans="1:2" ht="15">
      <c r="A2177" s="77" t="s">
        <v>5950</v>
      </c>
      <c r="B2177" s="76" t="s">
        <v>10944</v>
      </c>
    </row>
    <row r="2178" spans="1:2" ht="15">
      <c r="A2178" s="77" t="s">
        <v>5951</v>
      </c>
      <c r="B2178" s="76" t="s">
        <v>10944</v>
      </c>
    </row>
    <row r="2179" spans="1:2" ht="15">
      <c r="A2179" s="77" t="s">
        <v>5952</v>
      </c>
      <c r="B2179" s="76" t="s">
        <v>10944</v>
      </c>
    </row>
    <row r="2180" spans="1:2" ht="15">
      <c r="A2180" s="77" t="s">
        <v>5953</v>
      </c>
      <c r="B2180" s="76" t="s">
        <v>10944</v>
      </c>
    </row>
    <row r="2181" spans="1:2" ht="15">
      <c r="A2181" s="77" t="s">
        <v>5954</v>
      </c>
      <c r="B2181" s="76" t="s">
        <v>10944</v>
      </c>
    </row>
    <row r="2182" spans="1:2" ht="15">
      <c r="A2182" s="77" t="s">
        <v>5955</v>
      </c>
      <c r="B2182" s="76" t="s">
        <v>10944</v>
      </c>
    </row>
    <row r="2183" spans="1:2" ht="15">
      <c r="A2183" s="77" t="s">
        <v>5956</v>
      </c>
      <c r="B2183" s="76" t="s">
        <v>10944</v>
      </c>
    </row>
    <row r="2184" spans="1:2" ht="15">
      <c r="A2184" s="77" t="s">
        <v>5957</v>
      </c>
      <c r="B2184" s="76" t="s">
        <v>10944</v>
      </c>
    </row>
    <row r="2185" spans="1:2" ht="15">
      <c r="A2185" s="77" t="s">
        <v>5958</v>
      </c>
      <c r="B2185" s="76" t="s">
        <v>10944</v>
      </c>
    </row>
    <row r="2186" spans="1:2" ht="15">
      <c r="A2186" s="77" t="s">
        <v>5959</v>
      </c>
      <c r="B2186" s="76" t="s">
        <v>10944</v>
      </c>
    </row>
    <row r="2187" spans="1:2" ht="15">
      <c r="A2187" s="77" t="s">
        <v>5960</v>
      </c>
      <c r="B2187" s="76" t="s">
        <v>10944</v>
      </c>
    </row>
    <row r="2188" spans="1:2" ht="15">
      <c r="A2188" s="77" t="s">
        <v>5961</v>
      </c>
      <c r="B2188" s="76" t="s">
        <v>10944</v>
      </c>
    </row>
    <row r="2189" spans="1:2" ht="15">
      <c r="A2189" s="77" t="s">
        <v>5962</v>
      </c>
      <c r="B2189" s="76" t="s">
        <v>10944</v>
      </c>
    </row>
    <row r="2190" spans="1:2" ht="15">
      <c r="A2190" s="77" t="s">
        <v>5963</v>
      </c>
      <c r="B2190" s="76" t="s">
        <v>10944</v>
      </c>
    </row>
    <row r="2191" spans="1:2" ht="15">
      <c r="A2191" s="77" t="s">
        <v>5964</v>
      </c>
      <c r="B2191" s="76" t="s">
        <v>10944</v>
      </c>
    </row>
    <row r="2192" spans="1:2" ht="15">
      <c r="A2192" s="77" t="s">
        <v>5965</v>
      </c>
      <c r="B2192" s="76" t="s">
        <v>10944</v>
      </c>
    </row>
    <row r="2193" spans="1:2" ht="15">
      <c r="A2193" s="77" t="s">
        <v>5966</v>
      </c>
      <c r="B2193" s="76" t="s">
        <v>10944</v>
      </c>
    </row>
    <row r="2194" spans="1:2" ht="15">
      <c r="A2194" s="77" t="s">
        <v>5967</v>
      </c>
      <c r="B2194" s="76" t="s">
        <v>10944</v>
      </c>
    </row>
    <row r="2195" spans="1:2" ht="15">
      <c r="A2195" s="77" t="s">
        <v>5968</v>
      </c>
      <c r="B2195" s="76" t="s">
        <v>10944</v>
      </c>
    </row>
    <row r="2196" spans="1:2" ht="15">
      <c r="A2196" s="77" t="s">
        <v>5969</v>
      </c>
      <c r="B2196" s="76" t="s">
        <v>10944</v>
      </c>
    </row>
    <row r="2197" spans="1:2" ht="15">
      <c r="A2197" s="77" t="s">
        <v>5970</v>
      </c>
      <c r="B2197" s="76" t="s">
        <v>10944</v>
      </c>
    </row>
    <row r="2198" spans="1:2" ht="15">
      <c r="A2198" s="77" t="s">
        <v>5971</v>
      </c>
      <c r="B2198" s="76" t="s">
        <v>10944</v>
      </c>
    </row>
    <row r="2199" spans="1:2" ht="15">
      <c r="A2199" s="77" t="s">
        <v>5972</v>
      </c>
      <c r="B2199" s="76" t="s">
        <v>10944</v>
      </c>
    </row>
    <row r="2200" spans="1:2" ht="15">
      <c r="A2200" s="77" t="s">
        <v>5973</v>
      </c>
      <c r="B2200" s="76" t="s">
        <v>10944</v>
      </c>
    </row>
    <row r="2201" spans="1:2" ht="15">
      <c r="A2201" s="77" t="s">
        <v>5974</v>
      </c>
      <c r="B2201" s="76" t="s">
        <v>10944</v>
      </c>
    </row>
    <row r="2202" spans="1:2" ht="15">
      <c r="A2202" s="77" t="s">
        <v>5975</v>
      </c>
      <c r="B2202" s="76" t="s">
        <v>10944</v>
      </c>
    </row>
    <row r="2203" spans="1:2" ht="15">
      <c r="A2203" s="77" t="s">
        <v>5976</v>
      </c>
      <c r="B2203" s="76" t="s">
        <v>10944</v>
      </c>
    </row>
    <row r="2204" spans="1:2" ht="15">
      <c r="A2204" s="77" t="s">
        <v>5977</v>
      </c>
      <c r="B2204" s="76" t="s">
        <v>10944</v>
      </c>
    </row>
    <row r="2205" spans="1:2" ht="15">
      <c r="A2205" s="77" t="s">
        <v>5978</v>
      </c>
      <c r="B2205" s="76" t="s">
        <v>10944</v>
      </c>
    </row>
    <row r="2206" spans="1:2" ht="15">
      <c r="A2206" s="77" t="s">
        <v>5979</v>
      </c>
      <c r="B2206" s="76" t="s">
        <v>10944</v>
      </c>
    </row>
    <row r="2207" spans="1:2" ht="15">
      <c r="A2207" s="77" t="s">
        <v>5980</v>
      </c>
      <c r="B2207" s="76" t="s">
        <v>10944</v>
      </c>
    </row>
    <row r="2208" spans="1:2" ht="15">
      <c r="A2208" s="77" t="s">
        <v>5981</v>
      </c>
      <c r="B2208" s="76" t="s">
        <v>10944</v>
      </c>
    </row>
    <row r="2209" spans="1:2" ht="15">
      <c r="A2209" s="77" t="s">
        <v>5982</v>
      </c>
      <c r="B2209" s="76" t="s">
        <v>10944</v>
      </c>
    </row>
    <row r="2210" spans="1:2" ht="15">
      <c r="A2210" s="77" t="s">
        <v>5983</v>
      </c>
      <c r="B2210" s="76" t="s">
        <v>10944</v>
      </c>
    </row>
    <row r="2211" spans="1:2" ht="15">
      <c r="A2211" s="77" t="s">
        <v>5984</v>
      </c>
      <c r="B2211" s="76" t="s">
        <v>10944</v>
      </c>
    </row>
    <row r="2212" spans="1:2" ht="15">
      <c r="A2212" s="77" t="s">
        <v>5985</v>
      </c>
      <c r="B2212" s="76" t="s">
        <v>10944</v>
      </c>
    </row>
    <row r="2213" spans="1:2" ht="15">
      <c r="A2213" s="77" t="s">
        <v>5986</v>
      </c>
      <c r="B2213" s="76" t="s">
        <v>10944</v>
      </c>
    </row>
    <row r="2214" spans="1:2" ht="15">
      <c r="A2214" s="77" t="s">
        <v>5987</v>
      </c>
      <c r="B2214" s="76" t="s">
        <v>10944</v>
      </c>
    </row>
    <row r="2215" spans="1:2" ht="15">
      <c r="A2215" s="77" t="s">
        <v>5988</v>
      </c>
      <c r="B2215" s="76" t="s">
        <v>10944</v>
      </c>
    </row>
    <row r="2216" spans="1:2" ht="15">
      <c r="A2216" s="77" t="s">
        <v>5989</v>
      </c>
      <c r="B2216" s="76" t="s">
        <v>10944</v>
      </c>
    </row>
    <row r="2217" spans="1:2" ht="15">
      <c r="A2217" s="77" t="s">
        <v>5990</v>
      </c>
      <c r="B2217" s="76" t="s">
        <v>10944</v>
      </c>
    </row>
    <row r="2218" spans="1:2" ht="15">
      <c r="A2218" s="77" t="s">
        <v>5991</v>
      </c>
      <c r="B2218" s="76" t="s">
        <v>10944</v>
      </c>
    </row>
    <row r="2219" spans="1:2" ht="15">
      <c r="A2219" s="77" t="s">
        <v>5992</v>
      </c>
      <c r="B2219" s="76" t="s">
        <v>10944</v>
      </c>
    </row>
    <row r="2220" spans="1:2" ht="15">
      <c r="A2220" s="77" t="s">
        <v>5993</v>
      </c>
      <c r="B2220" s="76" t="s">
        <v>10944</v>
      </c>
    </row>
    <row r="2221" spans="1:2" ht="15">
      <c r="A2221" s="77" t="s">
        <v>5994</v>
      </c>
      <c r="B2221" s="76" t="s">
        <v>10944</v>
      </c>
    </row>
    <row r="2222" spans="1:2" ht="15">
      <c r="A2222" s="77" t="s">
        <v>5995</v>
      </c>
      <c r="B2222" s="76" t="s">
        <v>10944</v>
      </c>
    </row>
    <row r="2223" spans="1:2" ht="15">
      <c r="A2223" s="77" t="s">
        <v>5996</v>
      </c>
      <c r="B2223" s="76" t="s">
        <v>10944</v>
      </c>
    </row>
    <row r="2224" spans="1:2" ht="15">
      <c r="A2224" s="77" t="s">
        <v>5997</v>
      </c>
      <c r="B2224" s="76" t="s">
        <v>10944</v>
      </c>
    </row>
    <row r="2225" spans="1:2" ht="15">
      <c r="A2225" s="77" t="s">
        <v>5998</v>
      </c>
      <c r="B2225" s="76" t="s">
        <v>10944</v>
      </c>
    </row>
    <row r="2226" spans="1:2" ht="15">
      <c r="A2226" s="77" t="s">
        <v>5999</v>
      </c>
      <c r="B2226" s="76" t="s">
        <v>10944</v>
      </c>
    </row>
    <row r="2227" spans="1:2" ht="15">
      <c r="A2227" s="77" t="s">
        <v>6000</v>
      </c>
      <c r="B2227" s="76" t="s">
        <v>10944</v>
      </c>
    </row>
    <row r="2228" spans="1:2" ht="15">
      <c r="A2228" s="77" t="s">
        <v>6001</v>
      </c>
      <c r="B2228" s="76" t="s">
        <v>10944</v>
      </c>
    </row>
    <row r="2229" spans="1:2" ht="15">
      <c r="A2229" s="77" t="s">
        <v>6002</v>
      </c>
      <c r="B2229" s="76" t="s">
        <v>10944</v>
      </c>
    </row>
    <row r="2230" spans="1:2" ht="15">
      <c r="A2230" s="77" t="s">
        <v>6003</v>
      </c>
      <c r="B2230" s="76" t="s">
        <v>10944</v>
      </c>
    </row>
    <row r="2231" spans="1:2" ht="15">
      <c r="A2231" s="77" t="s">
        <v>6004</v>
      </c>
      <c r="B2231" s="76" t="s">
        <v>10944</v>
      </c>
    </row>
    <row r="2232" spans="1:2" ht="15">
      <c r="A2232" s="77" t="s">
        <v>6005</v>
      </c>
      <c r="B2232" s="76" t="s">
        <v>10944</v>
      </c>
    </row>
    <row r="2233" spans="1:2" ht="15">
      <c r="A2233" s="77" t="s">
        <v>6006</v>
      </c>
      <c r="B2233" s="76" t="s">
        <v>10944</v>
      </c>
    </row>
    <row r="2234" spans="1:2" ht="15">
      <c r="A2234" s="77" t="s">
        <v>6007</v>
      </c>
      <c r="B2234" s="76" t="s">
        <v>10944</v>
      </c>
    </row>
    <row r="2235" spans="1:2" ht="15">
      <c r="A2235" s="77" t="s">
        <v>6008</v>
      </c>
      <c r="B2235" s="76" t="s">
        <v>10944</v>
      </c>
    </row>
    <row r="2236" spans="1:2" ht="15">
      <c r="A2236" s="77" t="s">
        <v>6009</v>
      </c>
      <c r="B2236" s="76" t="s">
        <v>10944</v>
      </c>
    </row>
    <row r="2237" spans="1:2" ht="15">
      <c r="A2237" s="77" t="s">
        <v>6010</v>
      </c>
      <c r="B2237" s="76" t="s">
        <v>10944</v>
      </c>
    </row>
    <row r="2238" spans="1:2" ht="15">
      <c r="A2238" s="77" t="s">
        <v>6011</v>
      </c>
      <c r="B2238" s="76" t="s">
        <v>10944</v>
      </c>
    </row>
    <row r="2239" spans="1:2" ht="15">
      <c r="A2239" s="77" t="s">
        <v>6012</v>
      </c>
      <c r="B2239" s="76" t="s">
        <v>10944</v>
      </c>
    </row>
    <row r="2240" spans="1:2" ht="15">
      <c r="A2240" s="77" t="s">
        <v>6013</v>
      </c>
      <c r="B2240" s="76" t="s">
        <v>10944</v>
      </c>
    </row>
    <row r="2241" spans="1:2" ht="15">
      <c r="A2241" s="77" t="s">
        <v>6014</v>
      </c>
      <c r="B2241" s="76" t="s">
        <v>10944</v>
      </c>
    </row>
    <row r="2242" spans="1:2" ht="15">
      <c r="A2242" s="77" t="s">
        <v>6015</v>
      </c>
      <c r="B2242" s="76" t="s">
        <v>10944</v>
      </c>
    </row>
    <row r="2243" spans="1:2" ht="15">
      <c r="A2243" s="77" t="s">
        <v>6016</v>
      </c>
      <c r="B2243" s="76" t="s">
        <v>10944</v>
      </c>
    </row>
    <row r="2244" spans="1:2" ht="15">
      <c r="A2244" s="77" t="s">
        <v>6017</v>
      </c>
      <c r="B2244" s="76" t="s">
        <v>10944</v>
      </c>
    </row>
    <row r="2245" spans="1:2" ht="15">
      <c r="A2245" s="77" t="s">
        <v>6018</v>
      </c>
      <c r="B2245" s="76" t="s">
        <v>10944</v>
      </c>
    </row>
    <row r="2246" spans="1:2" ht="15">
      <c r="A2246" s="77" t="s">
        <v>6019</v>
      </c>
      <c r="B2246" s="76" t="s">
        <v>10944</v>
      </c>
    </row>
    <row r="2247" spans="1:2" ht="15">
      <c r="A2247" s="77" t="s">
        <v>6020</v>
      </c>
      <c r="B2247" s="76" t="s">
        <v>10944</v>
      </c>
    </row>
    <row r="2248" spans="1:2" ht="15">
      <c r="A2248" s="77" t="s">
        <v>2611</v>
      </c>
      <c r="B2248" s="76" t="s">
        <v>10944</v>
      </c>
    </row>
    <row r="2249" spans="1:2" ht="15">
      <c r="A2249" s="77" t="s">
        <v>6021</v>
      </c>
      <c r="B2249" s="76" t="s">
        <v>10944</v>
      </c>
    </row>
    <row r="2250" spans="1:2" ht="15">
      <c r="A2250" s="77" t="s">
        <v>6022</v>
      </c>
      <c r="B2250" s="76" t="s">
        <v>10944</v>
      </c>
    </row>
    <row r="2251" spans="1:2" ht="15">
      <c r="A2251" s="77" t="s">
        <v>6023</v>
      </c>
      <c r="B2251" s="76" t="s">
        <v>10944</v>
      </c>
    </row>
    <row r="2252" spans="1:2" ht="15">
      <c r="A2252" s="77" t="s">
        <v>6024</v>
      </c>
      <c r="B2252" s="76" t="s">
        <v>10944</v>
      </c>
    </row>
    <row r="2253" spans="1:2" ht="15">
      <c r="A2253" s="77" t="s">
        <v>6025</v>
      </c>
      <c r="B2253" s="76" t="s">
        <v>10944</v>
      </c>
    </row>
    <row r="2254" spans="1:2" ht="15">
      <c r="A2254" s="77" t="s">
        <v>6026</v>
      </c>
      <c r="B2254" s="76" t="s">
        <v>10944</v>
      </c>
    </row>
    <row r="2255" spans="1:2" ht="15">
      <c r="A2255" s="77" t="s">
        <v>6027</v>
      </c>
      <c r="B2255" s="76" t="s">
        <v>10944</v>
      </c>
    </row>
    <row r="2256" spans="1:2" ht="15">
      <c r="A2256" s="77" t="s">
        <v>6028</v>
      </c>
      <c r="B2256" s="76" t="s">
        <v>10944</v>
      </c>
    </row>
    <row r="2257" spans="1:2" ht="15">
      <c r="A2257" s="77" t="s">
        <v>6029</v>
      </c>
      <c r="B2257" s="76" t="s">
        <v>10944</v>
      </c>
    </row>
    <row r="2258" spans="1:2" ht="15">
      <c r="A2258" s="77" t="s">
        <v>6030</v>
      </c>
      <c r="B2258" s="76" t="s">
        <v>10944</v>
      </c>
    </row>
    <row r="2259" spans="1:2" ht="15">
      <c r="A2259" s="77" t="s">
        <v>6031</v>
      </c>
      <c r="B2259" s="76" t="s">
        <v>10944</v>
      </c>
    </row>
    <row r="2260" spans="1:2" ht="15">
      <c r="A2260" s="77" t="s">
        <v>6032</v>
      </c>
      <c r="B2260" s="76" t="s">
        <v>10944</v>
      </c>
    </row>
    <row r="2261" spans="1:2" ht="15">
      <c r="A2261" s="77" t="s">
        <v>6033</v>
      </c>
      <c r="B2261" s="76" t="s">
        <v>10944</v>
      </c>
    </row>
    <row r="2262" spans="1:2" ht="15">
      <c r="A2262" s="77" t="s">
        <v>6034</v>
      </c>
      <c r="B2262" s="76" t="s">
        <v>10944</v>
      </c>
    </row>
    <row r="2263" spans="1:2" ht="15">
      <c r="A2263" s="77" t="s">
        <v>6035</v>
      </c>
      <c r="B2263" s="76" t="s">
        <v>10944</v>
      </c>
    </row>
    <row r="2264" spans="1:2" ht="15">
      <c r="A2264" s="77" t="s">
        <v>6036</v>
      </c>
      <c r="B2264" s="76" t="s">
        <v>10944</v>
      </c>
    </row>
    <row r="2265" spans="1:2" ht="15">
      <c r="A2265" s="77" t="s">
        <v>6037</v>
      </c>
      <c r="B2265" s="76" t="s">
        <v>10944</v>
      </c>
    </row>
    <row r="2266" spans="1:2" ht="15">
      <c r="A2266" s="77" t="s">
        <v>6038</v>
      </c>
      <c r="B2266" s="76" t="s">
        <v>10944</v>
      </c>
    </row>
    <row r="2267" spans="1:2" ht="15">
      <c r="A2267" s="77" t="s">
        <v>6039</v>
      </c>
      <c r="B2267" s="76" t="s">
        <v>10944</v>
      </c>
    </row>
    <row r="2268" spans="1:2" ht="15">
      <c r="A2268" s="77" t="s">
        <v>6040</v>
      </c>
      <c r="B2268" s="76" t="s">
        <v>10944</v>
      </c>
    </row>
    <row r="2269" spans="1:2" ht="15">
      <c r="A2269" s="77" t="s">
        <v>6041</v>
      </c>
      <c r="B2269" s="76" t="s">
        <v>10944</v>
      </c>
    </row>
    <row r="2270" spans="1:2" ht="15">
      <c r="A2270" s="77" t="s">
        <v>6042</v>
      </c>
      <c r="B2270" s="76" t="s">
        <v>10944</v>
      </c>
    </row>
    <row r="2271" spans="1:2" ht="15">
      <c r="A2271" s="77" t="s">
        <v>6043</v>
      </c>
      <c r="B2271" s="76" t="s">
        <v>10944</v>
      </c>
    </row>
    <row r="2272" spans="1:2" ht="15">
      <c r="A2272" s="77" t="s">
        <v>6044</v>
      </c>
      <c r="B2272" s="76" t="s">
        <v>10944</v>
      </c>
    </row>
    <row r="2273" spans="1:2" ht="15">
      <c r="A2273" s="77" t="s">
        <v>6045</v>
      </c>
      <c r="B2273" s="76" t="s">
        <v>10944</v>
      </c>
    </row>
    <row r="2274" spans="1:2" ht="15">
      <c r="A2274" s="77" t="s">
        <v>2546</v>
      </c>
      <c r="B2274" s="76" t="s">
        <v>10944</v>
      </c>
    </row>
    <row r="2275" spans="1:2" ht="15">
      <c r="A2275" s="77" t="s">
        <v>6046</v>
      </c>
      <c r="B2275" s="76" t="s">
        <v>10944</v>
      </c>
    </row>
    <row r="2276" spans="1:2" ht="15">
      <c r="A2276" s="77" t="s">
        <v>6047</v>
      </c>
      <c r="B2276" s="76" t="s">
        <v>10944</v>
      </c>
    </row>
    <row r="2277" spans="1:2" ht="15">
      <c r="A2277" s="77" t="s">
        <v>6048</v>
      </c>
      <c r="B2277" s="76" t="s">
        <v>10944</v>
      </c>
    </row>
    <row r="2278" spans="1:2" ht="15">
      <c r="A2278" s="77" t="s">
        <v>6049</v>
      </c>
      <c r="B2278" s="76" t="s">
        <v>10944</v>
      </c>
    </row>
    <row r="2279" spans="1:2" ht="15">
      <c r="A2279" s="77" t="s">
        <v>6050</v>
      </c>
      <c r="B2279" s="76" t="s">
        <v>10944</v>
      </c>
    </row>
    <row r="2280" spans="1:2" ht="15">
      <c r="A2280" s="77" t="s">
        <v>6051</v>
      </c>
      <c r="B2280" s="76" t="s">
        <v>10944</v>
      </c>
    </row>
    <row r="2281" spans="1:2" ht="15">
      <c r="A2281" s="77" t="s">
        <v>6052</v>
      </c>
      <c r="B2281" s="76" t="s">
        <v>10944</v>
      </c>
    </row>
    <row r="2282" spans="1:2" ht="15">
      <c r="A2282" s="77" t="s">
        <v>6053</v>
      </c>
      <c r="B2282" s="76" t="s">
        <v>10944</v>
      </c>
    </row>
    <row r="2283" spans="1:2" ht="15">
      <c r="A2283" s="77" t="s">
        <v>6054</v>
      </c>
      <c r="B2283" s="76" t="s">
        <v>10944</v>
      </c>
    </row>
    <row r="2284" spans="1:2" ht="15">
      <c r="A2284" s="77" t="s">
        <v>6055</v>
      </c>
      <c r="B2284" s="76" t="s">
        <v>10944</v>
      </c>
    </row>
    <row r="2285" spans="1:2" ht="15">
      <c r="A2285" s="77" t="s">
        <v>6056</v>
      </c>
      <c r="B2285" s="76" t="s">
        <v>10944</v>
      </c>
    </row>
    <row r="2286" spans="1:2" ht="15">
      <c r="A2286" s="77" t="s">
        <v>6057</v>
      </c>
      <c r="B2286" s="76" t="s">
        <v>10944</v>
      </c>
    </row>
    <row r="2287" spans="1:2" ht="15">
      <c r="A2287" s="77" t="s">
        <v>6058</v>
      </c>
      <c r="B2287" s="76" t="s">
        <v>10944</v>
      </c>
    </row>
    <row r="2288" spans="1:2" ht="15">
      <c r="A2288" s="77" t="s">
        <v>6059</v>
      </c>
      <c r="B2288" s="76" t="s">
        <v>10944</v>
      </c>
    </row>
    <row r="2289" spans="1:2" ht="15">
      <c r="A2289" s="77" t="s">
        <v>6060</v>
      </c>
      <c r="B2289" s="76" t="s">
        <v>10944</v>
      </c>
    </row>
    <row r="2290" spans="1:2" ht="15">
      <c r="A2290" s="77" t="s">
        <v>6061</v>
      </c>
      <c r="B2290" s="76" t="s">
        <v>10944</v>
      </c>
    </row>
    <row r="2291" spans="1:2" ht="15">
      <c r="A2291" s="77" t="s">
        <v>6062</v>
      </c>
      <c r="B2291" s="76" t="s">
        <v>10944</v>
      </c>
    </row>
    <row r="2292" spans="1:2" ht="15">
      <c r="A2292" s="77" t="s">
        <v>6063</v>
      </c>
      <c r="B2292" s="76" t="s">
        <v>10944</v>
      </c>
    </row>
    <row r="2293" spans="1:2" ht="15">
      <c r="A2293" s="77" t="s">
        <v>6064</v>
      </c>
      <c r="B2293" s="76" t="s">
        <v>10944</v>
      </c>
    </row>
    <row r="2294" spans="1:2" ht="15">
      <c r="A2294" s="77" t="s">
        <v>6065</v>
      </c>
      <c r="B2294" s="76" t="s">
        <v>10944</v>
      </c>
    </row>
    <row r="2295" spans="1:2" ht="15">
      <c r="A2295" s="77" t="s">
        <v>6066</v>
      </c>
      <c r="B2295" s="76" t="s">
        <v>10944</v>
      </c>
    </row>
    <row r="2296" spans="1:2" ht="15">
      <c r="A2296" s="77" t="s">
        <v>6067</v>
      </c>
      <c r="B2296" s="76" t="s">
        <v>10944</v>
      </c>
    </row>
    <row r="2297" spans="1:2" ht="15">
      <c r="A2297" s="77" t="s">
        <v>6068</v>
      </c>
      <c r="B2297" s="76" t="s">
        <v>10944</v>
      </c>
    </row>
    <row r="2298" spans="1:2" ht="15">
      <c r="A2298" s="77" t="s">
        <v>6069</v>
      </c>
      <c r="B2298" s="76" t="s">
        <v>10944</v>
      </c>
    </row>
    <row r="2299" spans="1:2" ht="15">
      <c r="A2299" s="77" t="s">
        <v>6070</v>
      </c>
      <c r="B2299" s="76" t="s">
        <v>10944</v>
      </c>
    </row>
    <row r="2300" spans="1:2" ht="15">
      <c r="A2300" s="77" t="s">
        <v>6071</v>
      </c>
      <c r="B2300" s="76" t="s">
        <v>10944</v>
      </c>
    </row>
    <row r="2301" spans="1:2" ht="15">
      <c r="A2301" s="77" t="s">
        <v>6072</v>
      </c>
      <c r="B2301" s="76" t="s">
        <v>10944</v>
      </c>
    </row>
    <row r="2302" spans="1:2" ht="15">
      <c r="A2302" s="77" t="s">
        <v>6073</v>
      </c>
      <c r="B2302" s="76" t="s">
        <v>10944</v>
      </c>
    </row>
    <row r="2303" spans="1:2" ht="15">
      <c r="A2303" s="77" t="s">
        <v>6074</v>
      </c>
      <c r="B2303" s="76" t="s">
        <v>10944</v>
      </c>
    </row>
    <row r="2304" spans="1:2" ht="15">
      <c r="A2304" s="77" t="s">
        <v>6075</v>
      </c>
      <c r="B2304" s="76" t="s">
        <v>10944</v>
      </c>
    </row>
    <row r="2305" spans="1:2" ht="15">
      <c r="A2305" s="77" t="s">
        <v>6076</v>
      </c>
      <c r="B2305" s="76" t="s">
        <v>10944</v>
      </c>
    </row>
    <row r="2306" spans="1:2" ht="15">
      <c r="A2306" s="77" t="s">
        <v>6077</v>
      </c>
      <c r="B2306" s="76" t="s">
        <v>10944</v>
      </c>
    </row>
    <row r="2307" spans="1:2" ht="15">
      <c r="A2307" s="77" t="s">
        <v>6078</v>
      </c>
      <c r="B2307" s="76" t="s">
        <v>10944</v>
      </c>
    </row>
    <row r="2308" spans="1:2" ht="15">
      <c r="A2308" s="77" t="s">
        <v>6079</v>
      </c>
      <c r="B2308" s="76" t="s">
        <v>10944</v>
      </c>
    </row>
    <row r="2309" spans="1:2" ht="15">
      <c r="A2309" s="77" t="s">
        <v>6080</v>
      </c>
      <c r="B2309" s="76" t="s">
        <v>10944</v>
      </c>
    </row>
    <row r="2310" spans="1:2" ht="15">
      <c r="A2310" s="77" t="s">
        <v>6081</v>
      </c>
      <c r="B2310" s="76" t="s">
        <v>10944</v>
      </c>
    </row>
    <row r="2311" spans="1:2" ht="15">
      <c r="A2311" s="77" t="s">
        <v>6082</v>
      </c>
      <c r="B2311" s="76" t="s">
        <v>10944</v>
      </c>
    </row>
    <row r="2312" spans="1:2" ht="15">
      <c r="A2312" s="77" t="s">
        <v>6083</v>
      </c>
      <c r="B2312" s="76" t="s">
        <v>10944</v>
      </c>
    </row>
    <row r="2313" spans="1:2" ht="15">
      <c r="A2313" s="77" t="s">
        <v>6084</v>
      </c>
      <c r="B2313" s="76" t="s">
        <v>10944</v>
      </c>
    </row>
    <row r="2314" spans="1:2" ht="15">
      <c r="A2314" s="77" t="s">
        <v>6085</v>
      </c>
      <c r="B2314" s="76" t="s">
        <v>10944</v>
      </c>
    </row>
    <row r="2315" spans="1:2" ht="15">
      <c r="A2315" s="77" t="s">
        <v>6086</v>
      </c>
      <c r="B2315" s="76" t="s">
        <v>10944</v>
      </c>
    </row>
    <row r="2316" spans="1:2" ht="15">
      <c r="A2316" s="77" t="s">
        <v>6087</v>
      </c>
      <c r="B2316" s="76" t="s">
        <v>10944</v>
      </c>
    </row>
    <row r="2317" spans="1:2" ht="15">
      <c r="A2317" s="77" t="s">
        <v>6088</v>
      </c>
      <c r="B2317" s="76" t="s">
        <v>10944</v>
      </c>
    </row>
    <row r="2318" spans="1:2" ht="15">
      <c r="A2318" s="77" t="s">
        <v>6089</v>
      </c>
      <c r="B2318" s="76" t="s">
        <v>10944</v>
      </c>
    </row>
    <row r="2319" spans="1:2" ht="15">
      <c r="A2319" s="77" t="s">
        <v>6090</v>
      </c>
      <c r="B2319" s="76" t="s">
        <v>10944</v>
      </c>
    </row>
    <row r="2320" spans="1:2" ht="15">
      <c r="A2320" s="77" t="s">
        <v>3069</v>
      </c>
      <c r="B2320" s="76" t="s">
        <v>10944</v>
      </c>
    </row>
    <row r="2321" spans="1:2" ht="15">
      <c r="A2321" s="77" t="s">
        <v>6091</v>
      </c>
      <c r="B2321" s="76" t="s">
        <v>10944</v>
      </c>
    </row>
    <row r="2322" spans="1:2" ht="15">
      <c r="A2322" s="77" t="s">
        <v>6092</v>
      </c>
      <c r="B2322" s="76" t="s">
        <v>10944</v>
      </c>
    </row>
    <row r="2323" spans="1:2" ht="15">
      <c r="A2323" s="77" t="s">
        <v>6093</v>
      </c>
      <c r="B2323" s="76" t="s">
        <v>10944</v>
      </c>
    </row>
    <row r="2324" spans="1:2" ht="15">
      <c r="A2324" s="77" t="s">
        <v>6094</v>
      </c>
      <c r="B2324" s="76" t="s">
        <v>10944</v>
      </c>
    </row>
    <row r="2325" spans="1:2" ht="15">
      <c r="A2325" s="77" t="s">
        <v>6095</v>
      </c>
      <c r="B2325" s="76" t="s">
        <v>10944</v>
      </c>
    </row>
    <row r="2326" spans="1:2" ht="15">
      <c r="A2326" s="77" t="s">
        <v>6096</v>
      </c>
      <c r="B2326" s="76" t="s">
        <v>10944</v>
      </c>
    </row>
    <row r="2327" spans="1:2" ht="15">
      <c r="A2327" s="77" t="s">
        <v>6097</v>
      </c>
      <c r="B2327" s="76" t="s">
        <v>10944</v>
      </c>
    </row>
    <row r="2328" spans="1:2" ht="15">
      <c r="A2328" s="77" t="s">
        <v>6098</v>
      </c>
      <c r="B2328" s="76" t="s">
        <v>10944</v>
      </c>
    </row>
    <row r="2329" spans="1:2" ht="15">
      <c r="A2329" s="77" t="s">
        <v>6099</v>
      </c>
      <c r="B2329" s="76" t="s">
        <v>10944</v>
      </c>
    </row>
    <row r="2330" spans="1:2" ht="15">
      <c r="A2330" s="77" t="s">
        <v>6100</v>
      </c>
      <c r="B2330" s="76" t="s">
        <v>10944</v>
      </c>
    </row>
    <row r="2331" spans="1:2" ht="15">
      <c r="A2331" s="77" t="s">
        <v>6101</v>
      </c>
      <c r="B2331" s="76" t="s">
        <v>10944</v>
      </c>
    </row>
    <row r="2332" spans="1:2" ht="15">
      <c r="A2332" s="77" t="s">
        <v>6102</v>
      </c>
      <c r="B2332" s="76" t="s">
        <v>10944</v>
      </c>
    </row>
    <row r="2333" spans="1:2" ht="15">
      <c r="A2333" s="77" t="s">
        <v>6103</v>
      </c>
      <c r="B2333" s="76" t="s">
        <v>10944</v>
      </c>
    </row>
    <row r="2334" spans="1:2" ht="15">
      <c r="A2334" s="77" t="s">
        <v>6104</v>
      </c>
      <c r="B2334" s="76" t="s">
        <v>10944</v>
      </c>
    </row>
    <row r="2335" spans="1:2" ht="15">
      <c r="A2335" s="77" t="s">
        <v>6105</v>
      </c>
      <c r="B2335" s="76" t="s">
        <v>10944</v>
      </c>
    </row>
    <row r="2336" spans="1:2" ht="15">
      <c r="A2336" s="77" t="s">
        <v>6106</v>
      </c>
      <c r="B2336" s="76" t="s">
        <v>10944</v>
      </c>
    </row>
    <row r="2337" spans="1:2" ht="15">
      <c r="A2337" s="77" t="s">
        <v>6107</v>
      </c>
      <c r="B2337" s="76" t="s">
        <v>10944</v>
      </c>
    </row>
    <row r="2338" spans="1:2" ht="15">
      <c r="A2338" s="77" t="s">
        <v>6108</v>
      </c>
      <c r="B2338" s="76" t="s">
        <v>10944</v>
      </c>
    </row>
    <row r="2339" spans="1:2" ht="15">
      <c r="A2339" s="77" t="s">
        <v>6109</v>
      </c>
      <c r="B2339" s="76" t="s">
        <v>10944</v>
      </c>
    </row>
    <row r="2340" spans="1:2" ht="15">
      <c r="A2340" s="77" t="s">
        <v>6110</v>
      </c>
      <c r="B2340" s="76" t="s">
        <v>10944</v>
      </c>
    </row>
    <row r="2341" spans="1:2" ht="15">
      <c r="A2341" s="77" t="s">
        <v>6111</v>
      </c>
      <c r="B2341" s="76" t="s">
        <v>10944</v>
      </c>
    </row>
    <row r="2342" spans="1:2" ht="15">
      <c r="A2342" s="77" t="s">
        <v>6112</v>
      </c>
      <c r="B2342" s="76" t="s">
        <v>10944</v>
      </c>
    </row>
    <row r="2343" spans="1:2" ht="15">
      <c r="A2343" s="77" t="s">
        <v>6113</v>
      </c>
      <c r="B2343" s="76" t="s">
        <v>10944</v>
      </c>
    </row>
    <row r="2344" spans="1:2" ht="15">
      <c r="A2344" s="77" t="s">
        <v>6114</v>
      </c>
      <c r="B2344" s="76" t="s">
        <v>10944</v>
      </c>
    </row>
    <row r="2345" spans="1:2" ht="15">
      <c r="A2345" s="77" t="s">
        <v>6115</v>
      </c>
      <c r="B2345" s="76" t="s">
        <v>10944</v>
      </c>
    </row>
    <row r="2346" spans="1:2" ht="15">
      <c r="A2346" s="77" t="s">
        <v>6116</v>
      </c>
      <c r="B2346" s="76" t="s">
        <v>10944</v>
      </c>
    </row>
    <row r="2347" spans="1:2" ht="15">
      <c r="A2347" s="77" t="s">
        <v>6117</v>
      </c>
      <c r="B2347" s="76" t="s">
        <v>10944</v>
      </c>
    </row>
    <row r="2348" spans="1:2" ht="15">
      <c r="A2348" s="77" t="s">
        <v>3210</v>
      </c>
      <c r="B2348" s="76" t="s">
        <v>10944</v>
      </c>
    </row>
    <row r="2349" spans="1:2" ht="15">
      <c r="A2349" s="77" t="s">
        <v>6118</v>
      </c>
      <c r="B2349" s="76" t="s">
        <v>10944</v>
      </c>
    </row>
    <row r="2350" spans="1:2" ht="15">
      <c r="A2350" s="77" t="s">
        <v>6119</v>
      </c>
      <c r="B2350" s="76" t="s">
        <v>10944</v>
      </c>
    </row>
    <row r="2351" spans="1:2" ht="15">
      <c r="A2351" s="77" t="s">
        <v>6120</v>
      </c>
      <c r="B2351" s="76" t="s">
        <v>10944</v>
      </c>
    </row>
    <row r="2352" spans="1:2" ht="15">
      <c r="A2352" s="77" t="s">
        <v>6121</v>
      </c>
      <c r="B2352" s="76" t="s">
        <v>10944</v>
      </c>
    </row>
    <row r="2353" spans="1:2" ht="15">
      <c r="A2353" s="77" t="s">
        <v>6122</v>
      </c>
      <c r="B2353" s="76" t="s">
        <v>10944</v>
      </c>
    </row>
    <row r="2354" spans="1:2" ht="15">
      <c r="A2354" s="77" t="s">
        <v>6123</v>
      </c>
      <c r="B2354" s="76" t="s">
        <v>10944</v>
      </c>
    </row>
    <row r="2355" spans="1:2" ht="15">
      <c r="A2355" s="77" t="s">
        <v>6124</v>
      </c>
      <c r="B2355" s="76" t="s">
        <v>10944</v>
      </c>
    </row>
    <row r="2356" spans="1:2" ht="15">
      <c r="A2356" s="77" t="s">
        <v>6125</v>
      </c>
      <c r="B2356" s="76" t="s">
        <v>10944</v>
      </c>
    </row>
    <row r="2357" spans="1:2" ht="15">
      <c r="A2357" s="77" t="s">
        <v>6126</v>
      </c>
      <c r="B2357" s="76" t="s">
        <v>10944</v>
      </c>
    </row>
    <row r="2358" spans="1:2" ht="15">
      <c r="A2358" s="77" t="s">
        <v>6127</v>
      </c>
      <c r="B2358" s="76" t="s">
        <v>10944</v>
      </c>
    </row>
    <row r="2359" spans="1:2" ht="15">
      <c r="A2359" s="77" t="s">
        <v>6128</v>
      </c>
      <c r="B2359" s="76" t="s">
        <v>10944</v>
      </c>
    </row>
    <row r="2360" spans="1:2" ht="15">
      <c r="A2360" s="77" t="s">
        <v>6129</v>
      </c>
      <c r="B2360" s="76" t="s">
        <v>10944</v>
      </c>
    </row>
    <row r="2361" spans="1:2" ht="15">
      <c r="A2361" s="77" t="s">
        <v>3260</v>
      </c>
      <c r="B2361" s="76" t="s">
        <v>10944</v>
      </c>
    </row>
    <row r="2362" spans="1:2" ht="15">
      <c r="A2362" s="77" t="s">
        <v>6130</v>
      </c>
      <c r="B2362" s="76" t="s">
        <v>10944</v>
      </c>
    </row>
    <row r="2363" spans="1:2" ht="15">
      <c r="A2363" s="77" t="s">
        <v>6131</v>
      </c>
      <c r="B2363" s="76" t="s">
        <v>10944</v>
      </c>
    </row>
    <row r="2364" spans="1:2" ht="15">
      <c r="A2364" s="77" t="s">
        <v>6132</v>
      </c>
      <c r="B2364" s="76" t="s">
        <v>10944</v>
      </c>
    </row>
    <row r="2365" spans="1:2" ht="15">
      <c r="A2365" s="77" t="s">
        <v>6133</v>
      </c>
      <c r="B2365" s="76" t="s">
        <v>10944</v>
      </c>
    </row>
    <row r="2366" spans="1:2" ht="15">
      <c r="A2366" s="77" t="s">
        <v>6134</v>
      </c>
      <c r="B2366" s="76" t="s">
        <v>10944</v>
      </c>
    </row>
    <row r="2367" spans="1:2" ht="15">
      <c r="A2367" s="77" t="s">
        <v>6135</v>
      </c>
      <c r="B2367" s="76" t="s">
        <v>10944</v>
      </c>
    </row>
    <row r="2368" spans="1:2" ht="15">
      <c r="A2368" s="77" t="s">
        <v>6136</v>
      </c>
      <c r="B2368" s="76" t="s">
        <v>10944</v>
      </c>
    </row>
    <row r="2369" spans="1:2" ht="15">
      <c r="A2369" s="77" t="s">
        <v>6137</v>
      </c>
      <c r="B2369" s="76" t="s">
        <v>10944</v>
      </c>
    </row>
    <row r="2370" spans="1:2" ht="15">
      <c r="A2370" s="77" t="s">
        <v>6138</v>
      </c>
      <c r="B2370" s="76" t="s">
        <v>10944</v>
      </c>
    </row>
    <row r="2371" spans="1:2" ht="15">
      <c r="A2371" s="77" t="s">
        <v>6139</v>
      </c>
      <c r="B2371" s="76" t="s">
        <v>10944</v>
      </c>
    </row>
    <row r="2372" spans="1:2" ht="15">
      <c r="A2372" s="77" t="s">
        <v>6140</v>
      </c>
      <c r="B2372" s="76" t="s">
        <v>10944</v>
      </c>
    </row>
    <row r="2373" spans="1:2" ht="15">
      <c r="A2373" s="77" t="s">
        <v>6141</v>
      </c>
      <c r="B2373" s="76" t="s">
        <v>10944</v>
      </c>
    </row>
    <row r="2374" spans="1:2" ht="15">
      <c r="A2374" s="77" t="s">
        <v>6142</v>
      </c>
      <c r="B2374" s="76" t="s">
        <v>10944</v>
      </c>
    </row>
    <row r="2375" spans="1:2" ht="15">
      <c r="A2375" s="77" t="s">
        <v>6143</v>
      </c>
      <c r="B2375" s="76" t="s">
        <v>10944</v>
      </c>
    </row>
    <row r="2376" spans="1:2" ht="15">
      <c r="A2376" s="77" t="s">
        <v>6144</v>
      </c>
      <c r="B2376" s="76" t="s">
        <v>10944</v>
      </c>
    </row>
    <row r="2377" spans="1:2" ht="15">
      <c r="A2377" s="77" t="s">
        <v>6145</v>
      </c>
      <c r="B2377" s="76" t="s">
        <v>10944</v>
      </c>
    </row>
    <row r="2378" spans="1:2" ht="15">
      <c r="A2378" s="77" t="s">
        <v>6146</v>
      </c>
      <c r="B2378" s="76" t="s">
        <v>10944</v>
      </c>
    </row>
    <row r="2379" spans="1:2" ht="15">
      <c r="A2379" s="77" t="s">
        <v>6147</v>
      </c>
      <c r="B2379" s="76" t="s">
        <v>10944</v>
      </c>
    </row>
    <row r="2380" spans="1:2" ht="15">
      <c r="A2380" s="77" t="s">
        <v>6148</v>
      </c>
      <c r="B2380" s="76" t="s">
        <v>10944</v>
      </c>
    </row>
    <row r="2381" spans="1:2" ht="15">
      <c r="A2381" s="77" t="s">
        <v>6149</v>
      </c>
      <c r="B2381" s="76" t="s">
        <v>10944</v>
      </c>
    </row>
    <row r="2382" spans="1:2" ht="15">
      <c r="A2382" s="77" t="s">
        <v>6150</v>
      </c>
      <c r="B2382" s="76" t="s">
        <v>10944</v>
      </c>
    </row>
    <row r="2383" spans="1:2" ht="15">
      <c r="A2383" s="77" t="s">
        <v>6151</v>
      </c>
      <c r="B2383" s="76" t="s">
        <v>10944</v>
      </c>
    </row>
    <row r="2384" spans="1:2" ht="15">
      <c r="A2384" s="77" t="s">
        <v>6152</v>
      </c>
      <c r="B2384" s="76" t="s">
        <v>10944</v>
      </c>
    </row>
    <row r="2385" spans="1:2" ht="15">
      <c r="A2385" s="77" t="s">
        <v>6153</v>
      </c>
      <c r="B2385" s="76" t="s">
        <v>10944</v>
      </c>
    </row>
    <row r="2386" spans="1:2" ht="15">
      <c r="A2386" s="77" t="s">
        <v>6154</v>
      </c>
      <c r="B2386" s="76" t="s">
        <v>10944</v>
      </c>
    </row>
    <row r="2387" spans="1:2" ht="15">
      <c r="A2387" s="77" t="s">
        <v>6155</v>
      </c>
      <c r="B2387" s="76" t="s">
        <v>10944</v>
      </c>
    </row>
    <row r="2388" spans="1:2" ht="15">
      <c r="A2388" s="77" t="s">
        <v>6156</v>
      </c>
      <c r="B2388" s="76" t="s">
        <v>10944</v>
      </c>
    </row>
    <row r="2389" spans="1:2" ht="15">
      <c r="A2389" s="77" t="s">
        <v>6157</v>
      </c>
      <c r="B2389" s="76" t="s">
        <v>10944</v>
      </c>
    </row>
    <row r="2390" spans="1:2" ht="15">
      <c r="A2390" s="77" t="s">
        <v>6158</v>
      </c>
      <c r="B2390" s="76" t="s">
        <v>10944</v>
      </c>
    </row>
    <row r="2391" spans="1:2" ht="15">
      <c r="A2391" s="77" t="s">
        <v>6159</v>
      </c>
      <c r="B2391" s="76" t="s">
        <v>10944</v>
      </c>
    </row>
    <row r="2392" spans="1:2" ht="15">
      <c r="A2392" s="77" t="s">
        <v>6160</v>
      </c>
      <c r="B2392" s="76" t="s">
        <v>10944</v>
      </c>
    </row>
    <row r="2393" spans="1:2" ht="15">
      <c r="A2393" s="77" t="s">
        <v>6161</v>
      </c>
      <c r="B2393" s="76" t="s">
        <v>10944</v>
      </c>
    </row>
    <row r="2394" spans="1:2" ht="15">
      <c r="A2394" s="77" t="s">
        <v>6162</v>
      </c>
      <c r="B2394" s="76" t="s">
        <v>10944</v>
      </c>
    </row>
    <row r="2395" spans="1:2" ht="15">
      <c r="A2395" s="77" t="s">
        <v>6163</v>
      </c>
      <c r="B2395" s="76" t="s">
        <v>10944</v>
      </c>
    </row>
    <row r="2396" spans="1:2" ht="15">
      <c r="A2396" s="77" t="s">
        <v>6164</v>
      </c>
      <c r="B2396" s="76" t="s">
        <v>10944</v>
      </c>
    </row>
    <row r="2397" spans="1:2" ht="15">
      <c r="A2397" s="77" t="s">
        <v>6165</v>
      </c>
      <c r="B2397" s="76" t="s">
        <v>10944</v>
      </c>
    </row>
    <row r="2398" spans="1:2" ht="15">
      <c r="A2398" s="77" t="s">
        <v>6166</v>
      </c>
      <c r="B2398" s="76" t="s">
        <v>10944</v>
      </c>
    </row>
    <row r="2399" spans="1:2" ht="15">
      <c r="A2399" s="77" t="s">
        <v>6167</v>
      </c>
      <c r="B2399" s="76" t="s">
        <v>10944</v>
      </c>
    </row>
    <row r="2400" spans="1:2" ht="15">
      <c r="A2400" s="77" t="s">
        <v>6168</v>
      </c>
      <c r="B2400" s="76" t="s">
        <v>10944</v>
      </c>
    </row>
    <row r="2401" spans="1:2" ht="15">
      <c r="A2401" s="77" t="s">
        <v>6169</v>
      </c>
      <c r="B2401" s="76" t="s">
        <v>10944</v>
      </c>
    </row>
    <row r="2402" spans="1:2" ht="15">
      <c r="A2402" s="77" t="s">
        <v>6170</v>
      </c>
      <c r="B2402" s="76" t="s">
        <v>10944</v>
      </c>
    </row>
    <row r="2403" spans="1:2" ht="15">
      <c r="A2403" s="77" t="s">
        <v>6171</v>
      </c>
      <c r="B2403" s="76" t="s">
        <v>10944</v>
      </c>
    </row>
    <row r="2404" spans="1:2" ht="15">
      <c r="A2404" s="77" t="s">
        <v>6172</v>
      </c>
      <c r="B2404" s="76" t="s">
        <v>10944</v>
      </c>
    </row>
    <row r="2405" spans="1:2" ht="15">
      <c r="A2405" s="77" t="s">
        <v>6173</v>
      </c>
      <c r="B2405" s="76" t="s">
        <v>10944</v>
      </c>
    </row>
    <row r="2406" spans="1:2" ht="15">
      <c r="A2406" s="77" t="s">
        <v>6174</v>
      </c>
      <c r="B2406" s="76" t="s">
        <v>10944</v>
      </c>
    </row>
    <row r="2407" spans="1:2" ht="15">
      <c r="A2407" s="77" t="s">
        <v>6175</v>
      </c>
      <c r="B2407" s="76" t="s">
        <v>10944</v>
      </c>
    </row>
    <row r="2408" spans="1:2" ht="15">
      <c r="A2408" s="77" t="s">
        <v>6176</v>
      </c>
      <c r="B2408" s="76" t="s">
        <v>10944</v>
      </c>
    </row>
    <row r="2409" spans="1:2" ht="15">
      <c r="A2409" s="77" t="s">
        <v>6177</v>
      </c>
      <c r="B2409" s="76" t="s">
        <v>10944</v>
      </c>
    </row>
    <row r="2410" spans="1:2" ht="15">
      <c r="A2410" s="77" t="s">
        <v>6178</v>
      </c>
      <c r="B2410" s="76" t="s">
        <v>10944</v>
      </c>
    </row>
    <row r="2411" spans="1:2" ht="15">
      <c r="A2411" s="77" t="s">
        <v>6179</v>
      </c>
      <c r="B2411" s="76" t="s">
        <v>10944</v>
      </c>
    </row>
    <row r="2412" spans="1:2" ht="15">
      <c r="A2412" s="77" t="s">
        <v>6180</v>
      </c>
      <c r="B2412" s="76" t="s">
        <v>10944</v>
      </c>
    </row>
    <row r="2413" spans="1:2" ht="15">
      <c r="A2413" s="77" t="s">
        <v>6181</v>
      </c>
      <c r="B2413" s="76" t="s">
        <v>10944</v>
      </c>
    </row>
    <row r="2414" spans="1:2" ht="15">
      <c r="A2414" s="77" t="s">
        <v>6182</v>
      </c>
      <c r="B2414" s="76" t="s">
        <v>10944</v>
      </c>
    </row>
    <row r="2415" spans="1:2" ht="15">
      <c r="A2415" s="77" t="s">
        <v>6183</v>
      </c>
      <c r="B2415" s="76" t="s">
        <v>10944</v>
      </c>
    </row>
    <row r="2416" spans="1:2" ht="15">
      <c r="A2416" s="77" t="s">
        <v>6184</v>
      </c>
      <c r="B2416" s="76" t="s">
        <v>10944</v>
      </c>
    </row>
    <row r="2417" spans="1:2" ht="15">
      <c r="A2417" s="77" t="s">
        <v>6185</v>
      </c>
      <c r="B2417" s="76" t="s">
        <v>10944</v>
      </c>
    </row>
    <row r="2418" spans="1:2" ht="15">
      <c r="A2418" s="77" t="s">
        <v>6186</v>
      </c>
      <c r="B2418" s="76" t="s">
        <v>10944</v>
      </c>
    </row>
    <row r="2419" spans="1:2" ht="15">
      <c r="A2419" s="77" t="s">
        <v>6187</v>
      </c>
      <c r="B2419" s="76" t="s">
        <v>10944</v>
      </c>
    </row>
    <row r="2420" spans="1:2" ht="15">
      <c r="A2420" s="77" t="s">
        <v>6188</v>
      </c>
      <c r="B2420" s="76" t="s">
        <v>10944</v>
      </c>
    </row>
    <row r="2421" spans="1:2" ht="15">
      <c r="A2421" s="77" t="s">
        <v>6189</v>
      </c>
      <c r="B2421" s="76" t="s">
        <v>10944</v>
      </c>
    </row>
    <row r="2422" spans="1:2" ht="15">
      <c r="A2422" s="77" t="s">
        <v>6190</v>
      </c>
      <c r="B2422" s="76" t="s">
        <v>10944</v>
      </c>
    </row>
    <row r="2423" spans="1:2" ht="15">
      <c r="A2423" s="77" t="s">
        <v>6191</v>
      </c>
      <c r="B2423" s="76" t="s">
        <v>10944</v>
      </c>
    </row>
    <row r="2424" spans="1:2" ht="15">
      <c r="A2424" s="77" t="s">
        <v>6192</v>
      </c>
      <c r="B2424" s="76" t="s">
        <v>10944</v>
      </c>
    </row>
    <row r="2425" spans="1:2" ht="15">
      <c r="A2425" s="77" t="s">
        <v>6193</v>
      </c>
      <c r="B2425" s="76" t="s">
        <v>10944</v>
      </c>
    </row>
    <row r="2426" spans="1:2" ht="15">
      <c r="A2426" s="77" t="s">
        <v>6194</v>
      </c>
      <c r="B2426" s="76" t="s">
        <v>10944</v>
      </c>
    </row>
    <row r="2427" spans="1:2" ht="15">
      <c r="A2427" s="77" t="s">
        <v>6195</v>
      </c>
      <c r="B2427" s="76" t="s">
        <v>10944</v>
      </c>
    </row>
    <row r="2428" spans="1:2" ht="15">
      <c r="A2428" s="77" t="s">
        <v>6196</v>
      </c>
      <c r="B2428" s="76" t="s">
        <v>10944</v>
      </c>
    </row>
    <row r="2429" spans="1:2" ht="15">
      <c r="A2429" s="77" t="s">
        <v>6197</v>
      </c>
      <c r="B2429" s="76" t="s">
        <v>10944</v>
      </c>
    </row>
    <row r="2430" spans="1:2" ht="15">
      <c r="A2430" s="77" t="s">
        <v>6198</v>
      </c>
      <c r="B2430" s="76" t="s">
        <v>10944</v>
      </c>
    </row>
    <row r="2431" spans="1:2" ht="15">
      <c r="A2431" s="77" t="s">
        <v>6199</v>
      </c>
      <c r="B2431" s="76" t="s">
        <v>10944</v>
      </c>
    </row>
    <row r="2432" spans="1:2" ht="15">
      <c r="A2432" s="77" t="s">
        <v>6200</v>
      </c>
      <c r="B2432" s="76" t="s">
        <v>10944</v>
      </c>
    </row>
    <row r="2433" spans="1:2" ht="15">
      <c r="A2433" s="77" t="s">
        <v>6201</v>
      </c>
      <c r="B2433" s="76" t="s">
        <v>10944</v>
      </c>
    </row>
    <row r="2434" spans="1:2" ht="15">
      <c r="A2434" s="77" t="s">
        <v>6202</v>
      </c>
      <c r="B2434" s="76" t="s">
        <v>10944</v>
      </c>
    </row>
    <row r="2435" spans="1:2" ht="15">
      <c r="A2435" s="77" t="s">
        <v>6203</v>
      </c>
      <c r="B2435" s="76" t="s">
        <v>10944</v>
      </c>
    </row>
    <row r="2436" spans="1:2" ht="15">
      <c r="A2436" s="77" t="s">
        <v>6204</v>
      </c>
      <c r="B2436" s="76" t="s">
        <v>10944</v>
      </c>
    </row>
    <row r="2437" spans="1:2" ht="15">
      <c r="A2437" s="77" t="s">
        <v>6205</v>
      </c>
      <c r="B2437" s="76" t="s">
        <v>10944</v>
      </c>
    </row>
    <row r="2438" spans="1:2" ht="15">
      <c r="A2438" s="77" t="s">
        <v>6206</v>
      </c>
      <c r="B2438" s="76" t="s">
        <v>10944</v>
      </c>
    </row>
    <row r="2439" spans="1:2" ht="15">
      <c r="A2439" s="77" t="s">
        <v>6207</v>
      </c>
      <c r="B2439" s="76" t="s">
        <v>10944</v>
      </c>
    </row>
    <row r="2440" spans="1:2" ht="15">
      <c r="A2440" s="77" t="s">
        <v>6208</v>
      </c>
      <c r="B2440" s="76" t="s">
        <v>10944</v>
      </c>
    </row>
    <row r="2441" spans="1:2" ht="15">
      <c r="A2441" s="77" t="s">
        <v>6209</v>
      </c>
      <c r="B2441" s="76" t="s">
        <v>10944</v>
      </c>
    </row>
    <row r="2442" spans="1:2" ht="15">
      <c r="A2442" s="77" t="s">
        <v>6210</v>
      </c>
      <c r="B2442" s="76" t="s">
        <v>10944</v>
      </c>
    </row>
    <row r="2443" spans="1:2" ht="15">
      <c r="A2443" s="77" t="s">
        <v>6211</v>
      </c>
      <c r="B2443" s="76" t="s">
        <v>10944</v>
      </c>
    </row>
    <row r="2444" spans="1:2" ht="15">
      <c r="A2444" s="77" t="s">
        <v>6212</v>
      </c>
      <c r="B2444" s="76" t="s">
        <v>10944</v>
      </c>
    </row>
    <row r="2445" spans="1:2" ht="15">
      <c r="A2445" s="77" t="s">
        <v>6213</v>
      </c>
      <c r="B2445" s="76" t="s">
        <v>10944</v>
      </c>
    </row>
    <row r="2446" spans="1:2" ht="15">
      <c r="A2446" s="77" t="s">
        <v>6214</v>
      </c>
      <c r="B2446" s="76" t="s">
        <v>10944</v>
      </c>
    </row>
    <row r="2447" spans="1:2" ht="15">
      <c r="A2447" s="77" t="s">
        <v>6215</v>
      </c>
      <c r="B2447" s="76" t="s">
        <v>10944</v>
      </c>
    </row>
    <row r="2448" spans="1:2" ht="15">
      <c r="A2448" s="77" t="s">
        <v>6216</v>
      </c>
      <c r="B2448" s="76" t="s">
        <v>10944</v>
      </c>
    </row>
    <row r="2449" spans="1:2" ht="15">
      <c r="A2449" s="77" t="s">
        <v>6217</v>
      </c>
      <c r="B2449" s="76" t="s">
        <v>10944</v>
      </c>
    </row>
    <row r="2450" spans="1:2" ht="15">
      <c r="A2450" s="77" t="s">
        <v>6218</v>
      </c>
      <c r="B2450" s="76" t="s">
        <v>10944</v>
      </c>
    </row>
    <row r="2451" spans="1:2" ht="15">
      <c r="A2451" s="77" t="s">
        <v>6219</v>
      </c>
      <c r="B2451" s="76" t="s">
        <v>10944</v>
      </c>
    </row>
    <row r="2452" spans="1:2" ht="15">
      <c r="A2452" s="77" t="s">
        <v>6220</v>
      </c>
      <c r="B2452" s="76" t="s">
        <v>10944</v>
      </c>
    </row>
    <row r="2453" spans="1:2" ht="15">
      <c r="A2453" s="77" t="s">
        <v>6221</v>
      </c>
      <c r="B2453" s="76" t="s">
        <v>10944</v>
      </c>
    </row>
    <row r="2454" spans="1:2" ht="15">
      <c r="A2454" s="77" t="s">
        <v>6222</v>
      </c>
      <c r="B2454" s="76" t="s">
        <v>10944</v>
      </c>
    </row>
    <row r="2455" spans="1:2" ht="15">
      <c r="A2455" s="77" t="s">
        <v>6223</v>
      </c>
      <c r="B2455" s="76" t="s">
        <v>10944</v>
      </c>
    </row>
    <row r="2456" spans="1:2" ht="15">
      <c r="A2456" s="77" t="s">
        <v>6224</v>
      </c>
      <c r="B2456" s="76" t="s">
        <v>10944</v>
      </c>
    </row>
    <row r="2457" spans="1:2" ht="15">
      <c r="A2457" s="77" t="s">
        <v>6225</v>
      </c>
      <c r="B2457" s="76" t="s">
        <v>10944</v>
      </c>
    </row>
    <row r="2458" spans="1:2" ht="15">
      <c r="A2458" s="77" t="s">
        <v>6226</v>
      </c>
      <c r="B2458" s="76" t="s">
        <v>10944</v>
      </c>
    </row>
    <row r="2459" spans="1:2" ht="15">
      <c r="A2459" s="77" t="s">
        <v>6227</v>
      </c>
      <c r="B2459" s="76" t="s">
        <v>10944</v>
      </c>
    </row>
    <row r="2460" spans="1:2" ht="15">
      <c r="A2460" s="77" t="s">
        <v>6228</v>
      </c>
      <c r="B2460" s="76" t="s">
        <v>10944</v>
      </c>
    </row>
    <row r="2461" spans="1:2" ht="15">
      <c r="A2461" s="77" t="s">
        <v>2790</v>
      </c>
      <c r="B2461" s="76" t="s">
        <v>10944</v>
      </c>
    </row>
    <row r="2462" spans="1:2" ht="15">
      <c r="A2462" s="77" t="s">
        <v>6229</v>
      </c>
      <c r="B2462" s="76" t="s">
        <v>10944</v>
      </c>
    </row>
    <row r="2463" spans="1:2" ht="15">
      <c r="A2463" s="77" t="s">
        <v>2455</v>
      </c>
      <c r="B2463" s="76" t="s">
        <v>10944</v>
      </c>
    </row>
    <row r="2464" spans="1:2" ht="15">
      <c r="A2464" s="77" t="s">
        <v>6230</v>
      </c>
      <c r="B2464" s="76" t="s">
        <v>10944</v>
      </c>
    </row>
    <row r="2465" spans="1:2" ht="15">
      <c r="A2465" s="77" t="s">
        <v>6231</v>
      </c>
      <c r="B2465" s="76" t="s">
        <v>10944</v>
      </c>
    </row>
    <row r="2466" spans="1:2" ht="15">
      <c r="A2466" s="77" t="s">
        <v>6232</v>
      </c>
      <c r="B2466" s="76" t="s">
        <v>10944</v>
      </c>
    </row>
    <row r="2467" spans="1:2" ht="15">
      <c r="A2467" s="77" t="s">
        <v>6233</v>
      </c>
      <c r="B2467" s="76" t="s">
        <v>10944</v>
      </c>
    </row>
    <row r="2468" spans="1:2" ht="15">
      <c r="A2468" s="77" t="s">
        <v>6234</v>
      </c>
      <c r="B2468" s="76" t="s">
        <v>10944</v>
      </c>
    </row>
    <row r="2469" spans="1:2" ht="15">
      <c r="A2469" s="77" t="s">
        <v>6235</v>
      </c>
      <c r="B2469" s="76" t="s">
        <v>10944</v>
      </c>
    </row>
    <row r="2470" spans="1:2" ht="15">
      <c r="A2470" s="77" t="s">
        <v>6236</v>
      </c>
      <c r="B2470" s="76" t="s">
        <v>10944</v>
      </c>
    </row>
    <row r="2471" spans="1:2" ht="15">
      <c r="A2471" s="77" t="s">
        <v>6237</v>
      </c>
      <c r="B2471" s="76" t="s">
        <v>10944</v>
      </c>
    </row>
    <row r="2472" spans="1:2" ht="15">
      <c r="A2472" s="77" t="s">
        <v>6238</v>
      </c>
      <c r="B2472" s="76" t="s">
        <v>10944</v>
      </c>
    </row>
    <row r="2473" spans="1:2" ht="15">
      <c r="A2473" s="77" t="s">
        <v>6239</v>
      </c>
      <c r="B2473" s="76" t="s">
        <v>10944</v>
      </c>
    </row>
    <row r="2474" spans="1:2" ht="15">
      <c r="A2474" s="77" t="s">
        <v>6240</v>
      </c>
      <c r="B2474" s="76" t="s">
        <v>10944</v>
      </c>
    </row>
    <row r="2475" spans="1:2" ht="15">
      <c r="A2475" s="77" t="s">
        <v>6241</v>
      </c>
      <c r="B2475" s="76" t="s">
        <v>10944</v>
      </c>
    </row>
    <row r="2476" spans="1:2" ht="15">
      <c r="A2476" s="77" t="s">
        <v>6242</v>
      </c>
      <c r="B2476" s="76" t="s">
        <v>10944</v>
      </c>
    </row>
    <row r="2477" spans="1:2" ht="15">
      <c r="A2477" s="77" t="s">
        <v>6243</v>
      </c>
      <c r="B2477" s="76" t="s">
        <v>10944</v>
      </c>
    </row>
    <row r="2478" spans="1:2" ht="15">
      <c r="A2478" s="77" t="s">
        <v>6244</v>
      </c>
      <c r="B2478" s="76" t="s">
        <v>10944</v>
      </c>
    </row>
    <row r="2479" spans="1:2" ht="15">
      <c r="A2479" s="77" t="s">
        <v>6245</v>
      </c>
      <c r="B2479" s="76" t="s">
        <v>10944</v>
      </c>
    </row>
    <row r="2480" spans="1:2" ht="15">
      <c r="A2480" s="77" t="s">
        <v>6246</v>
      </c>
      <c r="B2480" s="76" t="s">
        <v>10944</v>
      </c>
    </row>
    <row r="2481" spans="1:2" ht="15">
      <c r="A2481" s="77" t="s">
        <v>6247</v>
      </c>
      <c r="B2481" s="76" t="s">
        <v>10944</v>
      </c>
    </row>
    <row r="2482" spans="1:2" ht="15">
      <c r="A2482" s="77" t="s">
        <v>6248</v>
      </c>
      <c r="B2482" s="76" t="s">
        <v>10944</v>
      </c>
    </row>
    <row r="2483" spans="1:2" ht="15">
      <c r="A2483" s="77" t="s">
        <v>6249</v>
      </c>
      <c r="B2483" s="76" t="s">
        <v>10944</v>
      </c>
    </row>
    <row r="2484" spans="1:2" ht="15">
      <c r="A2484" s="77" t="s">
        <v>6250</v>
      </c>
      <c r="B2484" s="76" t="s">
        <v>10944</v>
      </c>
    </row>
    <row r="2485" spans="1:2" ht="15">
      <c r="A2485" s="77" t="s">
        <v>6251</v>
      </c>
      <c r="B2485" s="76" t="s">
        <v>10944</v>
      </c>
    </row>
    <row r="2486" spans="1:2" ht="15">
      <c r="A2486" s="77" t="s">
        <v>6252</v>
      </c>
      <c r="B2486" s="76" t="s">
        <v>10944</v>
      </c>
    </row>
    <row r="2487" spans="1:2" ht="15">
      <c r="A2487" s="77" t="s">
        <v>6253</v>
      </c>
      <c r="B2487" s="76" t="s">
        <v>10944</v>
      </c>
    </row>
    <row r="2488" spans="1:2" ht="15">
      <c r="A2488" s="77" t="s">
        <v>6254</v>
      </c>
      <c r="B2488" s="76" t="s">
        <v>10944</v>
      </c>
    </row>
    <row r="2489" spans="1:2" ht="15">
      <c r="A2489" s="77" t="s">
        <v>6255</v>
      </c>
      <c r="B2489" s="76" t="s">
        <v>10944</v>
      </c>
    </row>
    <row r="2490" spans="1:2" ht="15">
      <c r="A2490" s="77" t="s">
        <v>6256</v>
      </c>
      <c r="B2490" s="76" t="s">
        <v>10944</v>
      </c>
    </row>
    <row r="2491" spans="1:2" ht="15">
      <c r="A2491" s="77" t="s">
        <v>6257</v>
      </c>
      <c r="B2491" s="76" t="s">
        <v>10944</v>
      </c>
    </row>
    <row r="2492" spans="1:2" ht="15">
      <c r="A2492" s="77" t="s">
        <v>6258</v>
      </c>
      <c r="B2492" s="76" t="s">
        <v>10944</v>
      </c>
    </row>
    <row r="2493" spans="1:2" ht="15">
      <c r="A2493" s="77" t="s">
        <v>6259</v>
      </c>
      <c r="B2493" s="76" t="s">
        <v>10944</v>
      </c>
    </row>
    <row r="2494" spans="1:2" ht="15">
      <c r="A2494" s="77" t="s">
        <v>3464</v>
      </c>
      <c r="B2494" s="76" t="s">
        <v>10944</v>
      </c>
    </row>
    <row r="2495" spans="1:2" ht="15">
      <c r="A2495" s="77" t="s">
        <v>6260</v>
      </c>
      <c r="B2495" s="76" t="s">
        <v>10944</v>
      </c>
    </row>
    <row r="2496" spans="1:2" ht="15">
      <c r="A2496" s="77" t="s">
        <v>6261</v>
      </c>
      <c r="B2496" s="76" t="s">
        <v>10944</v>
      </c>
    </row>
    <row r="2497" spans="1:2" ht="15">
      <c r="A2497" s="77" t="s">
        <v>6262</v>
      </c>
      <c r="B2497" s="76" t="s">
        <v>10944</v>
      </c>
    </row>
    <row r="2498" spans="1:2" ht="15">
      <c r="A2498" s="77" t="s">
        <v>6263</v>
      </c>
      <c r="B2498" s="76" t="s">
        <v>10944</v>
      </c>
    </row>
    <row r="2499" spans="1:2" ht="15">
      <c r="A2499" s="77" t="s">
        <v>6264</v>
      </c>
      <c r="B2499" s="76" t="s">
        <v>10944</v>
      </c>
    </row>
    <row r="2500" spans="1:2" ht="15">
      <c r="A2500" s="77" t="s">
        <v>6265</v>
      </c>
      <c r="B2500" s="76" t="s">
        <v>10944</v>
      </c>
    </row>
    <row r="2501" spans="1:2" ht="15">
      <c r="A2501" s="77" t="s">
        <v>6266</v>
      </c>
      <c r="B2501" s="76" t="s">
        <v>10944</v>
      </c>
    </row>
    <row r="2502" spans="1:2" ht="15">
      <c r="A2502" s="77" t="s">
        <v>6267</v>
      </c>
      <c r="B2502" s="76" t="s">
        <v>10944</v>
      </c>
    </row>
    <row r="2503" spans="1:2" ht="15">
      <c r="A2503" s="77" t="s">
        <v>6268</v>
      </c>
      <c r="B2503" s="76" t="s">
        <v>10944</v>
      </c>
    </row>
    <row r="2504" spans="1:2" ht="15">
      <c r="A2504" s="77" t="s">
        <v>6269</v>
      </c>
      <c r="B2504" s="76" t="s">
        <v>10944</v>
      </c>
    </row>
    <row r="2505" spans="1:2" ht="15">
      <c r="A2505" s="77" t="s">
        <v>6270</v>
      </c>
      <c r="B2505" s="76" t="s">
        <v>10944</v>
      </c>
    </row>
    <row r="2506" spans="1:2" ht="15">
      <c r="A2506" s="77" t="s">
        <v>2935</v>
      </c>
      <c r="B2506" s="76" t="s">
        <v>10944</v>
      </c>
    </row>
    <row r="2507" spans="1:2" ht="15">
      <c r="A2507" s="77" t="s">
        <v>6271</v>
      </c>
      <c r="B2507" s="76" t="s">
        <v>10944</v>
      </c>
    </row>
    <row r="2508" spans="1:2" ht="15">
      <c r="A2508" s="77" t="s">
        <v>6272</v>
      </c>
      <c r="B2508" s="76" t="s">
        <v>10944</v>
      </c>
    </row>
    <row r="2509" spans="1:2" ht="15">
      <c r="A2509" s="77" t="s">
        <v>6273</v>
      </c>
      <c r="B2509" s="76" t="s">
        <v>10944</v>
      </c>
    </row>
    <row r="2510" spans="1:2" ht="15">
      <c r="A2510" s="77" t="s">
        <v>6274</v>
      </c>
      <c r="B2510" s="76" t="s">
        <v>10944</v>
      </c>
    </row>
    <row r="2511" spans="1:2" ht="15">
      <c r="A2511" s="77" t="s">
        <v>6275</v>
      </c>
      <c r="B2511" s="76" t="s">
        <v>10944</v>
      </c>
    </row>
    <row r="2512" spans="1:2" ht="15">
      <c r="A2512" s="77" t="s">
        <v>6276</v>
      </c>
      <c r="B2512" s="76" t="s">
        <v>10944</v>
      </c>
    </row>
    <row r="2513" spans="1:2" ht="15">
      <c r="A2513" s="77" t="s">
        <v>6277</v>
      </c>
      <c r="B2513" s="76" t="s">
        <v>10944</v>
      </c>
    </row>
    <row r="2514" spans="1:2" ht="15">
      <c r="A2514" s="77" t="s">
        <v>2458</v>
      </c>
      <c r="B2514" s="76" t="s">
        <v>10944</v>
      </c>
    </row>
    <row r="2515" spans="1:2" ht="15">
      <c r="A2515" s="77" t="s">
        <v>6278</v>
      </c>
      <c r="B2515" s="76" t="s">
        <v>10944</v>
      </c>
    </row>
    <row r="2516" spans="1:2" ht="15">
      <c r="A2516" s="77" t="s">
        <v>2911</v>
      </c>
      <c r="B2516" s="76" t="s">
        <v>10944</v>
      </c>
    </row>
    <row r="2517" spans="1:2" ht="15">
      <c r="A2517" s="77" t="s">
        <v>2744</v>
      </c>
      <c r="B2517" s="76" t="s">
        <v>10944</v>
      </c>
    </row>
    <row r="2518" spans="1:2" ht="15">
      <c r="A2518" s="77" t="s">
        <v>6279</v>
      </c>
      <c r="B2518" s="76" t="s">
        <v>10944</v>
      </c>
    </row>
    <row r="2519" spans="1:2" ht="15">
      <c r="A2519" s="77" t="s">
        <v>3118</v>
      </c>
      <c r="B2519" s="76" t="s">
        <v>10944</v>
      </c>
    </row>
    <row r="2520" spans="1:2" ht="15">
      <c r="A2520" s="77" t="s">
        <v>6280</v>
      </c>
      <c r="B2520" s="76" t="s">
        <v>10944</v>
      </c>
    </row>
    <row r="2521" spans="1:2" ht="15">
      <c r="A2521" s="77" t="s">
        <v>6281</v>
      </c>
      <c r="B2521" s="76" t="s">
        <v>10944</v>
      </c>
    </row>
    <row r="2522" spans="1:2" ht="15">
      <c r="A2522" s="77" t="s">
        <v>6282</v>
      </c>
      <c r="B2522" s="76" t="s">
        <v>10944</v>
      </c>
    </row>
    <row r="2523" spans="1:2" ht="15">
      <c r="A2523" s="77" t="s">
        <v>6283</v>
      </c>
      <c r="B2523" s="76" t="s">
        <v>10944</v>
      </c>
    </row>
    <row r="2524" spans="1:2" ht="15">
      <c r="A2524" s="77" t="s">
        <v>2788</v>
      </c>
      <c r="B2524" s="76" t="s">
        <v>10944</v>
      </c>
    </row>
    <row r="2525" spans="1:2" ht="15">
      <c r="A2525" s="77" t="s">
        <v>6284</v>
      </c>
      <c r="B2525" s="76" t="s">
        <v>10944</v>
      </c>
    </row>
    <row r="2526" spans="1:2" ht="15">
      <c r="A2526" s="77" t="s">
        <v>6285</v>
      </c>
      <c r="B2526" s="76" t="s">
        <v>10944</v>
      </c>
    </row>
    <row r="2527" spans="1:2" ht="15">
      <c r="A2527" s="77" t="s">
        <v>6286</v>
      </c>
      <c r="B2527" s="76" t="s">
        <v>10944</v>
      </c>
    </row>
    <row r="2528" spans="1:2" ht="15">
      <c r="A2528" s="77" t="s">
        <v>6287</v>
      </c>
      <c r="B2528" s="76" t="s">
        <v>10944</v>
      </c>
    </row>
    <row r="2529" spans="1:2" ht="15">
      <c r="A2529" s="77" t="s">
        <v>6288</v>
      </c>
      <c r="B2529" s="76" t="s">
        <v>10944</v>
      </c>
    </row>
    <row r="2530" spans="1:2" ht="15">
      <c r="A2530" s="77" t="s">
        <v>6289</v>
      </c>
      <c r="B2530" s="76" t="s">
        <v>10944</v>
      </c>
    </row>
    <row r="2531" spans="1:2" ht="15">
      <c r="A2531" s="77" t="s">
        <v>6290</v>
      </c>
      <c r="B2531" s="76" t="s">
        <v>10944</v>
      </c>
    </row>
    <row r="2532" spans="1:2" ht="15">
      <c r="A2532" s="77" t="s">
        <v>6291</v>
      </c>
      <c r="B2532" s="76" t="s">
        <v>10944</v>
      </c>
    </row>
    <row r="2533" spans="1:2" ht="15">
      <c r="A2533" s="77" t="s">
        <v>6292</v>
      </c>
      <c r="B2533" s="76" t="s">
        <v>10944</v>
      </c>
    </row>
    <row r="2534" spans="1:2" ht="15">
      <c r="A2534" s="77" t="s">
        <v>6293</v>
      </c>
      <c r="B2534" s="76" t="s">
        <v>10945</v>
      </c>
    </row>
    <row r="2535" spans="1:2" ht="15">
      <c r="A2535" s="77" t="s">
        <v>6294</v>
      </c>
      <c r="B2535" s="76" t="s">
        <v>10945</v>
      </c>
    </row>
    <row r="2536" spans="1:2" ht="15">
      <c r="A2536" s="77" t="s">
        <v>6295</v>
      </c>
      <c r="B2536" s="76" t="s">
        <v>10945</v>
      </c>
    </row>
    <row r="2537" spans="1:2" ht="15">
      <c r="A2537" s="77" t="s">
        <v>6296</v>
      </c>
      <c r="B2537" s="76" t="s">
        <v>10945</v>
      </c>
    </row>
    <row r="2538" spans="1:2" ht="15">
      <c r="A2538" s="77" t="s">
        <v>6297</v>
      </c>
      <c r="B2538" s="76" t="s">
        <v>10945</v>
      </c>
    </row>
    <row r="2539" spans="1:2" ht="15">
      <c r="A2539" s="77" t="s">
        <v>6298</v>
      </c>
      <c r="B2539" s="76" t="s">
        <v>10945</v>
      </c>
    </row>
    <row r="2540" spans="1:2" ht="15">
      <c r="A2540" s="77" t="s">
        <v>6299</v>
      </c>
      <c r="B2540" s="76" t="s">
        <v>10945</v>
      </c>
    </row>
    <row r="2541" spans="1:2" ht="15">
      <c r="A2541" s="77" t="s">
        <v>6300</v>
      </c>
      <c r="B2541" s="76" t="s">
        <v>10945</v>
      </c>
    </row>
    <row r="2542" spans="1:2" ht="15">
      <c r="A2542" s="77" t="s">
        <v>6301</v>
      </c>
      <c r="B2542" s="76" t="s">
        <v>10945</v>
      </c>
    </row>
    <row r="2543" spans="1:2" ht="15">
      <c r="A2543" s="77" t="s">
        <v>6302</v>
      </c>
      <c r="B2543" s="76" t="s">
        <v>10945</v>
      </c>
    </row>
    <row r="2544" spans="1:2" ht="15">
      <c r="A2544" s="77" t="s">
        <v>6303</v>
      </c>
      <c r="B2544" s="76" t="s">
        <v>10945</v>
      </c>
    </row>
    <row r="2545" spans="1:2" ht="15">
      <c r="A2545" s="77" t="s">
        <v>6304</v>
      </c>
      <c r="B2545" s="76" t="s">
        <v>10945</v>
      </c>
    </row>
    <row r="2546" spans="1:2" ht="15">
      <c r="A2546" s="77" t="s">
        <v>6305</v>
      </c>
      <c r="B2546" s="76" t="s">
        <v>10945</v>
      </c>
    </row>
    <row r="2547" spans="1:2" ht="15">
      <c r="A2547" s="77" t="s">
        <v>6306</v>
      </c>
      <c r="B2547" s="76" t="s">
        <v>10945</v>
      </c>
    </row>
    <row r="2548" spans="1:2" ht="15">
      <c r="A2548" s="77" t="s">
        <v>6307</v>
      </c>
      <c r="B2548" s="76" t="s">
        <v>10945</v>
      </c>
    </row>
    <row r="2549" spans="1:2" ht="15">
      <c r="A2549" s="77" t="s">
        <v>6308</v>
      </c>
      <c r="B2549" s="76" t="s">
        <v>10945</v>
      </c>
    </row>
    <row r="2550" spans="1:2" ht="15">
      <c r="A2550" s="77" t="s">
        <v>6309</v>
      </c>
      <c r="B2550" s="76" t="s">
        <v>10945</v>
      </c>
    </row>
    <row r="2551" spans="1:2" ht="15">
      <c r="A2551" s="77" t="s">
        <v>6310</v>
      </c>
      <c r="B2551" s="76" t="s">
        <v>10945</v>
      </c>
    </row>
    <row r="2552" spans="1:2" ht="15">
      <c r="A2552" s="77" t="s">
        <v>6311</v>
      </c>
      <c r="B2552" s="76" t="s">
        <v>10945</v>
      </c>
    </row>
    <row r="2553" spans="1:2" ht="15">
      <c r="A2553" s="77" t="s">
        <v>6312</v>
      </c>
      <c r="B2553" s="76" t="s">
        <v>10945</v>
      </c>
    </row>
    <row r="2554" spans="1:2" ht="15">
      <c r="A2554" s="77" t="s">
        <v>6313</v>
      </c>
      <c r="B2554" s="76" t="s">
        <v>10945</v>
      </c>
    </row>
    <row r="2555" spans="1:2" ht="15">
      <c r="A2555" s="77" t="s">
        <v>6314</v>
      </c>
      <c r="B2555" s="76" t="s">
        <v>10945</v>
      </c>
    </row>
    <row r="2556" spans="1:2" ht="15">
      <c r="A2556" s="77" t="s">
        <v>6315</v>
      </c>
      <c r="B2556" s="76" t="s">
        <v>10945</v>
      </c>
    </row>
    <row r="2557" spans="1:2" ht="15">
      <c r="A2557" s="77" t="s">
        <v>6316</v>
      </c>
      <c r="B2557" s="76" t="s">
        <v>10945</v>
      </c>
    </row>
    <row r="2558" spans="1:2" ht="15">
      <c r="A2558" s="77" t="s">
        <v>3054</v>
      </c>
      <c r="B2558" s="76" t="s">
        <v>10945</v>
      </c>
    </row>
    <row r="2559" spans="1:2" ht="15">
      <c r="A2559" s="77" t="s">
        <v>6317</v>
      </c>
      <c r="B2559" s="76" t="s">
        <v>10945</v>
      </c>
    </row>
    <row r="2560" spans="1:2" ht="15">
      <c r="A2560" s="77" t="s">
        <v>6318</v>
      </c>
      <c r="B2560" s="76" t="s">
        <v>10945</v>
      </c>
    </row>
    <row r="2561" spans="1:2" ht="15">
      <c r="A2561" s="77" t="s">
        <v>6319</v>
      </c>
      <c r="B2561" s="76" t="s">
        <v>10945</v>
      </c>
    </row>
    <row r="2562" spans="1:2" ht="15">
      <c r="A2562" s="77" t="s">
        <v>6320</v>
      </c>
      <c r="B2562" s="76" t="s">
        <v>10945</v>
      </c>
    </row>
    <row r="2563" spans="1:2" ht="15">
      <c r="A2563" s="77" t="s">
        <v>6321</v>
      </c>
      <c r="B2563" s="76" t="s">
        <v>10945</v>
      </c>
    </row>
    <row r="2564" spans="1:2" ht="15">
      <c r="A2564" s="77" t="s">
        <v>6322</v>
      </c>
      <c r="B2564" s="76" t="s">
        <v>10945</v>
      </c>
    </row>
    <row r="2565" spans="1:2" ht="15">
      <c r="A2565" s="77" t="s">
        <v>6323</v>
      </c>
      <c r="B2565" s="76" t="s">
        <v>10945</v>
      </c>
    </row>
    <row r="2566" spans="1:2" ht="15">
      <c r="A2566" s="77" t="s">
        <v>6324</v>
      </c>
      <c r="B2566" s="76" t="s">
        <v>10945</v>
      </c>
    </row>
    <row r="2567" spans="1:2" ht="15">
      <c r="A2567" s="77" t="s">
        <v>6325</v>
      </c>
      <c r="B2567" s="76" t="s">
        <v>10945</v>
      </c>
    </row>
    <row r="2568" spans="1:2" ht="15">
      <c r="A2568" s="77" t="s">
        <v>6326</v>
      </c>
      <c r="B2568" s="76" t="s">
        <v>10945</v>
      </c>
    </row>
    <row r="2569" spans="1:2" ht="15">
      <c r="A2569" s="77" t="s">
        <v>6327</v>
      </c>
      <c r="B2569" s="76" t="s">
        <v>10945</v>
      </c>
    </row>
    <row r="2570" spans="1:2" ht="15">
      <c r="A2570" s="77" t="s">
        <v>6328</v>
      </c>
      <c r="B2570" s="76" t="s">
        <v>10945</v>
      </c>
    </row>
    <row r="2571" spans="1:2" ht="15">
      <c r="A2571" s="77" t="s">
        <v>6329</v>
      </c>
      <c r="B2571" s="76" t="s">
        <v>10945</v>
      </c>
    </row>
    <row r="2572" spans="1:2" ht="15">
      <c r="A2572" s="77" t="s">
        <v>6330</v>
      </c>
      <c r="B2572" s="76" t="s">
        <v>10945</v>
      </c>
    </row>
    <row r="2573" spans="1:2" ht="15">
      <c r="A2573" s="77" t="s">
        <v>6331</v>
      </c>
      <c r="B2573" s="76" t="s">
        <v>10945</v>
      </c>
    </row>
    <row r="2574" spans="1:2" ht="15">
      <c r="A2574" s="77" t="s">
        <v>6332</v>
      </c>
      <c r="B2574" s="76" t="s">
        <v>10945</v>
      </c>
    </row>
    <row r="2575" spans="1:2" ht="15">
      <c r="A2575" s="77" t="s">
        <v>6333</v>
      </c>
      <c r="B2575" s="76" t="s">
        <v>10945</v>
      </c>
    </row>
    <row r="2576" spans="1:2" ht="15">
      <c r="A2576" s="77" t="s">
        <v>6334</v>
      </c>
      <c r="B2576" s="76" t="s">
        <v>10945</v>
      </c>
    </row>
    <row r="2577" spans="1:2" ht="15">
      <c r="A2577" s="77" t="s">
        <v>6335</v>
      </c>
      <c r="B2577" s="76" t="s">
        <v>10945</v>
      </c>
    </row>
    <row r="2578" spans="1:2" ht="15">
      <c r="A2578" s="77" t="s">
        <v>6336</v>
      </c>
      <c r="B2578" s="76" t="s">
        <v>10945</v>
      </c>
    </row>
    <row r="2579" spans="1:2" ht="15">
      <c r="A2579" s="77" t="s">
        <v>6337</v>
      </c>
      <c r="B2579" s="76" t="s">
        <v>10945</v>
      </c>
    </row>
    <row r="2580" spans="1:2" ht="15">
      <c r="A2580" s="77" t="s">
        <v>6338</v>
      </c>
      <c r="B2580" s="76" t="s">
        <v>10945</v>
      </c>
    </row>
    <row r="2581" spans="1:2" ht="15">
      <c r="A2581" s="77" t="s">
        <v>6339</v>
      </c>
      <c r="B2581" s="76" t="s">
        <v>10945</v>
      </c>
    </row>
    <row r="2582" spans="1:2" ht="15">
      <c r="A2582" s="77" t="s">
        <v>6340</v>
      </c>
      <c r="B2582" s="76" t="s">
        <v>10945</v>
      </c>
    </row>
    <row r="2583" spans="1:2" ht="15">
      <c r="A2583" s="77" t="s">
        <v>6341</v>
      </c>
      <c r="B2583" s="76" t="s">
        <v>10945</v>
      </c>
    </row>
    <row r="2584" spans="1:2" ht="15">
      <c r="A2584" s="77" t="s">
        <v>6342</v>
      </c>
      <c r="B2584" s="76" t="s">
        <v>10945</v>
      </c>
    </row>
    <row r="2585" spans="1:2" ht="15">
      <c r="A2585" s="77" t="s">
        <v>6343</v>
      </c>
      <c r="B2585" s="76" t="s">
        <v>10945</v>
      </c>
    </row>
    <row r="2586" spans="1:2" ht="15">
      <c r="A2586" s="77" t="s">
        <v>6344</v>
      </c>
      <c r="B2586" s="76" t="s">
        <v>10945</v>
      </c>
    </row>
    <row r="2587" spans="1:2" ht="15">
      <c r="A2587" s="77" t="s">
        <v>2901</v>
      </c>
      <c r="B2587" s="76" t="s">
        <v>10945</v>
      </c>
    </row>
    <row r="2588" spans="1:2" ht="15">
      <c r="A2588" s="77" t="s">
        <v>6345</v>
      </c>
      <c r="B2588" s="76" t="s">
        <v>10945</v>
      </c>
    </row>
    <row r="2589" spans="1:2" ht="15">
      <c r="A2589" s="77" t="s">
        <v>6346</v>
      </c>
      <c r="B2589" s="76" t="s">
        <v>10945</v>
      </c>
    </row>
    <row r="2590" spans="1:2" ht="15">
      <c r="A2590" s="77" t="s">
        <v>6347</v>
      </c>
      <c r="B2590" s="76" t="s">
        <v>10945</v>
      </c>
    </row>
    <row r="2591" spans="1:2" ht="15">
      <c r="A2591" s="77" t="s">
        <v>6348</v>
      </c>
      <c r="B2591" s="76" t="s">
        <v>10945</v>
      </c>
    </row>
    <row r="2592" spans="1:2" ht="15">
      <c r="A2592" s="77" t="s">
        <v>6349</v>
      </c>
      <c r="B2592" s="76" t="s">
        <v>10945</v>
      </c>
    </row>
    <row r="2593" spans="1:2" ht="15">
      <c r="A2593" s="77" t="s">
        <v>6350</v>
      </c>
      <c r="B2593" s="76" t="s">
        <v>10945</v>
      </c>
    </row>
    <row r="2594" spans="1:2" ht="15">
      <c r="A2594" s="77" t="s">
        <v>6351</v>
      </c>
      <c r="B2594" s="76" t="s">
        <v>10945</v>
      </c>
    </row>
    <row r="2595" spans="1:2" ht="15">
      <c r="A2595" s="77" t="s">
        <v>6352</v>
      </c>
      <c r="B2595" s="76" t="s">
        <v>10945</v>
      </c>
    </row>
    <row r="2596" spans="1:2" ht="15">
      <c r="A2596" s="77" t="s">
        <v>6353</v>
      </c>
      <c r="B2596" s="76" t="s">
        <v>10945</v>
      </c>
    </row>
    <row r="2597" spans="1:2" ht="15">
      <c r="A2597" s="77" t="s">
        <v>6354</v>
      </c>
      <c r="B2597" s="76" t="s">
        <v>10945</v>
      </c>
    </row>
    <row r="2598" spans="1:2" ht="15">
      <c r="A2598" s="77" t="s">
        <v>6355</v>
      </c>
      <c r="B2598" s="76" t="s">
        <v>10945</v>
      </c>
    </row>
    <row r="2599" spans="1:2" ht="15">
      <c r="A2599" s="77" t="s">
        <v>6356</v>
      </c>
      <c r="B2599" s="76" t="s">
        <v>10945</v>
      </c>
    </row>
    <row r="2600" spans="1:2" ht="15">
      <c r="A2600" s="77" t="s">
        <v>6357</v>
      </c>
      <c r="B2600" s="76" t="s">
        <v>10945</v>
      </c>
    </row>
    <row r="2601" spans="1:2" ht="15">
      <c r="A2601" s="77" t="s">
        <v>6358</v>
      </c>
      <c r="B2601" s="76" t="s">
        <v>10945</v>
      </c>
    </row>
    <row r="2602" spans="1:2" ht="15">
      <c r="A2602" s="77" t="s">
        <v>6359</v>
      </c>
      <c r="B2602" s="76" t="s">
        <v>10945</v>
      </c>
    </row>
    <row r="2603" spans="1:2" ht="15">
      <c r="A2603" s="77" t="s">
        <v>6360</v>
      </c>
      <c r="B2603" s="76" t="s">
        <v>10945</v>
      </c>
    </row>
    <row r="2604" spans="1:2" ht="15">
      <c r="A2604" s="77" t="s">
        <v>6361</v>
      </c>
      <c r="B2604" s="76" t="s">
        <v>10945</v>
      </c>
    </row>
    <row r="2605" spans="1:2" ht="15">
      <c r="A2605" s="77" t="s">
        <v>6362</v>
      </c>
      <c r="B2605" s="76" t="s">
        <v>10945</v>
      </c>
    </row>
    <row r="2606" spans="1:2" ht="15">
      <c r="A2606" s="77" t="s">
        <v>6363</v>
      </c>
      <c r="B2606" s="76" t="s">
        <v>10945</v>
      </c>
    </row>
    <row r="2607" spans="1:2" ht="15">
      <c r="A2607" s="77" t="s">
        <v>6364</v>
      </c>
      <c r="B2607" s="76" t="s">
        <v>10945</v>
      </c>
    </row>
    <row r="2608" spans="1:2" ht="15">
      <c r="A2608" s="77" t="s">
        <v>6365</v>
      </c>
      <c r="B2608" s="76" t="s">
        <v>10945</v>
      </c>
    </row>
    <row r="2609" spans="1:2" ht="15">
      <c r="A2609" s="77" t="s">
        <v>6366</v>
      </c>
      <c r="B2609" s="76" t="s">
        <v>10945</v>
      </c>
    </row>
    <row r="2610" spans="1:2" ht="15">
      <c r="A2610" s="77" t="s">
        <v>6367</v>
      </c>
      <c r="B2610" s="76" t="s">
        <v>10945</v>
      </c>
    </row>
    <row r="2611" spans="1:2" ht="15">
      <c r="A2611" s="77" t="s">
        <v>6368</v>
      </c>
      <c r="B2611" s="76" t="s">
        <v>10945</v>
      </c>
    </row>
    <row r="2612" spans="1:2" ht="15">
      <c r="A2612" s="77" t="s">
        <v>6369</v>
      </c>
      <c r="B2612" s="76" t="s">
        <v>10945</v>
      </c>
    </row>
    <row r="2613" spans="1:2" ht="15">
      <c r="A2613" s="77" t="s">
        <v>6370</v>
      </c>
      <c r="B2613" s="76" t="s">
        <v>10945</v>
      </c>
    </row>
    <row r="2614" spans="1:2" ht="15">
      <c r="A2614" s="77" t="s">
        <v>6371</v>
      </c>
      <c r="B2614" s="76" t="s">
        <v>10945</v>
      </c>
    </row>
    <row r="2615" spans="1:2" ht="15">
      <c r="A2615" s="77" t="s">
        <v>6372</v>
      </c>
      <c r="B2615" s="76" t="s">
        <v>10945</v>
      </c>
    </row>
    <row r="2616" spans="1:2" ht="15">
      <c r="A2616" s="77" t="s">
        <v>6373</v>
      </c>
      <c r="B2616" s="76" t="s">
        <v>10945</v>
      </c>
    </row>
    <row r="2617" spans="1:2" ht="15">
      <c r="A2617" s="77" t="s">
        <v>6374</v>
      </c>
      <c r="B2617" s="76" t="s">
        <v>10945</v>
      </c>
    </row>
    <row r="2618" spans="1:2" ht="15">
      <c r="A2618" s="77" t="s">
        <v>6375</v>
      </c>
      <c r="B2618" s="76" t="s">
        <v>10945</v>
      </c>
    </row>
    <row r="2619" spans="1:2" ht="15">
      <c r="A2619" s="77" t="s">
        <v>6376</v>
      </c>
      <c r="B2619" s="76" t="s">
        <v>10945</v>
      </c>
    </row>
    <row r="2620" spans="1:2" ht="15">
      <c r="A2620" s="77" t="s">
        <v>6377</v>
      </c>
      <c r="B2620" s="76" t="s">
        <v>10945</v>
      </c>
    </row>
    <row r="2621" spans="1:2" ht="15">
      <c r="A2621" s="77" t="s">
        <v>6378</v>
      </c>
      <c r="B2621" s="76" t="s">
        <v>10945</v>
      </c>
    </row>
    <row r="2622" spans="1:2" ht="15">
      <c r="A2622" s="77" t="s">
        <v>6379</v>
      </c>
      <c r="B2622" s="76" t="s">
        <v>10945</v>
      </c>
    </row>
    <row r="2623" spans="1:2" ht="15">
      <c r="A2623" s="77" t="s">
        <v>6380</v>
      </c>
      <c r="B2623" s="76" t="s">
        <v>10945</v>
      </c>
    </row>
    <row r="2624" spans="1:2" ht="15">
      <c r="A2624" s="77" t="s">
        <v>6381</v>
      </c>
      <c r="B2624" s="76" t="s">
        <v>10945</v>
      </c>
    </row>
    <row r="2625" spans="1:2" ht="15">
      <c r="A2625" s="77" t="s">
        <v>6382</v>
      </c>
      <c r="B2625" s="76" t="s">
        <v>10945</v>
      </c>
    </row>
    <row r="2626" spans="1:2" ht="15">
      <c r="A2626" s="77" t="s">
        <v>6383</v>
      </c>
      <c r="B2626" s="76" t="s">
        <v>10945</v>
      </c>
    </row>
    <row r="2627" spans="1:2" ht="15">
      <c r="A2627" s="77" t="s">
        <v>6384</v>
      </c>
      <c r="B2627" s="76" t="s">
        <v>10945</v>
      </c>
    </row>
    <row r="2628" spans="1:2" ht="15">
      <c r="A2628" s="77" t="s">
        <v>6385</v>
      </c>
      <c r="B2628" s="76" t="s">
        <v>10945</v>
      </c>
    </row>
    <row r="2629" spans="1:2" ht="15">
      <c r="A2629" s="77" t="s">
        <v>6386</v>
      </c>
      <c r="B2629" s="76" t="s">
        <v>10945</v>
      </c>
    </row>
    <row r="2630" spans="1:2" ht="15">
      <c r="A2630" s="77" t="s">
        <v>6387</v>
      </c>
      <c r="B2630" s="76" t="s">
        <v>10945</v>
      </c>
    </row>
    <row r="2631" spans="1:2" ht="15">
      <c r="A2631" s="77" t="s">
        <v>6388</v>
      </c>
      <c r="B2631" s="76" t="s">
        <v>10945</v>
      </c>
    </row>
    <row r="2632" spans="1:2" ht="15">
      <c r="A2632" s="77" t="s">
        <v>6389</v>
      </c>
      <c r="B2632" s="76" t="s">
        <v>10945</v>
      </c>
    </row>
    <row r="2633" spans="1:2" ht="15">
      <c r="A2633" s="77" t="s">
        <v>6390</v>
      </c>
      <c r="B2633" s="76" t="s">
        <v>10945</v>
      </c>
    </row>
    <row r="2634" spans="1:2" ht="15">
      <c r="A2634" s="77" t="s">
        <v>6391</v>
      </c>
      <c r="B2634" s="76" t="s">
        <v>10945</v>
      </c>
    </row>
    <row r="2635" spans="1:2" ht="15">
      <c r="A2635" s="77" t="s">
        <v>6392</v>
      </c>
      <c r="B2635" s="76" t="s">
        <v>10945</v>
      </c>
    </row>
    <row r="2636" spans="1:2" ht="15">
      <c r="A2636" s="77" t="s">
        <v>6393</v>
      </c>
      <c r="B2636" s="76" t="s">
        <v>10945</v>
      </c>
    </row>
    <row r="2637" spans="1:2" ht="15">
      <c r="A2637" s="77" t="s">
        <v>6394</v>
      </c>
      <c r="B2637" s="76" t="s">
        <v>10945</v>
      </c>
    </row>
    <row r="2638" spans="1:2" ht="15">
      <c r="A2638" s="77" t="s">
        <v>6395</v>
      </c>
      <c r="B2638" s="76" t="s">
        <v>10945</v>
      </c>
    </row>
    <row r="2639" spans="1:2" ht="15">
      <c r="A2639" s="77" t="s">
        <v>6396</v>
      </c>
      <c r="B2639" s="76" t="s">
        <v>10945</v>
      </c>
    </row>
    <row r="2640" spans="1:2" ht="15">
      <c r="A2640" s="77" t="s">
        <v>6397</v>
      </c>
      <c r="B2640" s="76" t="s">
        <v>10945</v>
      </c>
    </row>
    <row r="2641" spans="1:2" ht="15">
      <c r="A2641" s="77" t="s">
        <v>6398</v>
      </c>
      <c r="B2641" s="76" t="s">
        <v>10945</v>
      </c>
    </row>
    <row r="2642" spans="1:2" ht="15">
      <c r="A2642" s="77" t="s">
        <v>6399</v>
      </c>
      <c r="B2642" s="76" t="s">
        <v>10945</v>
      </c>
    </row>
    <row r="2643" spans="1:2" ht="15">
      <c r="A2643" s="77" t="s">
        <v>6400</v>
      </c>
      <c r="B2643" s="76" t="s">
        <v>10945</v>
      </c>
    </row>
    <row r="2644" spans="1:2" ht="15">
      <c r="A2644" s="77" t="s">
        <v>6401</v>
      </c>
      <c r="B2644" s="76" t="s">
        <v>10945</v>
      </c>
    </row>
    <row r="2645" spans="1:2" ht="15">
      <c r="A2645" s="77" t="s">
        <v>6402</v>
      </c>
      <c r="B2645" s="76" t="s">
        <v>10945</v>
      </c>
    </row>
    <row r="2646" spans="1:2" ht="15">
      <c r="A2646" s="77" t="s">
        <v>6403</v>
      </c>
      <c r="B2646" s="76" t="s">
        <v>10945</v>
      </c>
    </row>
    <row r="2647" spans="1:2" ht="15">
      <c r="A2647" s="77" t="s">
        <v>6404</v>
      </c>
      <c r="B2647" s="76" t="s">
        <v>10945</v>
      </c>
    </row>
    <row r="2648" spans="1:2" ht="15">
      <c r="A2648" s="77" t="s">
        <v>6405</v>
      </c>
      <c r="B2648" s="76" t="s">
        <v>10945</v>
      </c>
    </row>
    <row r="2649" spans="1:2" ht="15">
      <c r="A2649" s="77" t="s">
        <v>6406</v>
      </c>
      <c r="B2649" s="76" t="s">
        <v>10945</v>
      </c>
    </row>
    <row r="2650" spans="1:2" ht="15">
      <c r="A2650" s="77" t="s">
        <v>6407</v>
      </c>
      <c r="B2650" s="76" t="s">
        <v>10945</v>
      </c>
    </row>
    <row r="2651" spans="1:2" ht="15">
      <c r="A2651" s="77" t="s">
        <v>6408</v>
      </c>
      <c r="B2651" s="76" t="s">
        <v>10945</v>
      </c>
    </row>
    <row r="2652" spans="1:2" ht="15">
      <c r="A2652" s="77" t="s">
        <v>6409</v>
      </c>
      <c r="B2652" s="76" t="s">
        <v>10945</v>
      </c>
    </row>
    <row r="2653" spans="1:2" ht="15">
      <c r="A2653" s="77" t="s">
        <v>6410</v>
      </c>
      <c r="B2653" s="76" t="s">
        <v>10945</v>
      </c>
    </row>
    <row r="2654" spans="1:2" ht="15">
      <c r="A2654" s="77" t="s">
        <v>6411</v>
      </c>
      <c r="B2654" s="76" t="s">
        <v>10945</v>
      </c>
    </row>
    <row r="2655" spans="1:2" ht="15">
      <c r="A2655" s="77" t="s">
        <v>6412</v>
      </c>
      <c r="B2655" s="76" t="s">
        <v>10945</v>
      </c>
    </row>
    <row r="2656" spans="1:2" ht="15">
      <c r="A2656" s="77" t="s">
        <v>6413</v>
      </c>
      <c r="B2656" s="76" t="s">
        <v>10945</v>
      </c>
    </row>
    <row r="2657" spans="1:2" ht="15">
      <c r="A2657" s="77" t="s">
        <v>6414</v>
      </c>
      <c r="B2657" s="76" t="s">
        <v>10945</v>
      </c>
    </row>
    <row r="2658" spans="1:2" ht="15">
      <c r="A2658" s="77" t="s">
        <v>6415</v>
      </c>
      <c r="B2658" s="76" t="s">
        <v>10945</v>
      </c>
    </row>
    <row r="2659" spans="1:2" ht="15">
      <c r="A2659" s="77" t="s">
        <v>6416</v>
      </c>
      <c r="B2659" s="76" t="s">
        <v>10945</v>
      </c>
    </row>
    <row r="2660" spans="1:2" ht="15">
      <c r="A2660" s="77" t="s">
        <v>6417</v>
      </c>
      <c r="B2660" s="76" t="s">
        <v>10945</v>
      </c>
    </row>
    <row r="2661" spans="1:2" ht="15">
      <c r="A2661" s="77" t="s">
        <v>6418</v>
      </c>
      <c r="B2661" s="76" t="s">
        <v>10945</v>
      </c>
    </row>
    <row r="2662" spans="1:2" ht="15">
      <c r="A2662" s="77" t="s">
        <v>6419</v>
      </c>
      <c r="B2662" s="76" t="s">
        <v>10945</v>
      </c>
    </row>
    <row r="2663" spans="1:2" ht="15">
      <c r="A2663" s="77" t="s">
        <v>6420</v>
      </c>
      <c r="B2663" s="76" t="s">
        <v>10945</v>
      </c>
    </row>
    <row r="2664" spans="1:2" ht="15">
      <c r="A2664" s="77" t="s">
        <v>6421</v>
      </c>
      <c r="B2664" s="76" t="s">
        <v>10945</v>
      </c>
    </row>
    <row r="2665" spans="1:2" ht="15">
      <c r="A2665" s="77" t="s">
        <v>6422</v>
      </c>
      <c r="B2665" s="76" t="s">
        <v>10945</v>
      </c>
    </row>
    <row r="2666" spans="1:2" ht="15">
      <c r="A2666" s="77" t="s">
        <v>6423</v>
      </c>
      <c r="B2666" s="76" t="s">
        <v>10945</v>
      </c>
    </row>
    <row r="2667" spans="1:2" ht="15">
      <c r="A2667" s="77" t="s">
        <v>6424</v>
      </c>
      <c r="B2667" s="76" t="s">
        <v>10945</v>
      </c>
    </row>
    <row r="2668" spans="1:2" ht="15">
      <c r="A2668" s="77" t="s">
        <v>6425</v>
      </c>
      <c r="B2668" s="76" t="s">
        <v>10945</v>
      </c>
    </row>
    <row r="2669" spans="1:2" ht="15">
      <c r="A2669" s="77" t="s">
        <v>6426</v>
      </c>
      <c r="B2669" s="76" t="s">
        <v>10945</v>
      </c>
    </row>
    <row r="2670" spans="1:2" ht="15">
      <c r="A2670" s="77" t="s">
        <v>6427</v>
      </c>
      <c r="B2670" s="76" t="s">
        <v>10945</v>
      </c>
    </row>
    <row r="2671" spans="1:2" ht="15">
      <c r="A2671" s="77" t="s">
        <v>3168</v>
      </c>
      <c r="B2671" s="76" t="s">
        <v>10945</v>
      </c>
    </row>
    <row r="2672" spans="1:2" ht="15">
      <c r="A2672" s="77" t="s">
        <v>6428</v>
      </c>
      <c r="B2672" s="76" t="s">
        <v>10945</v>
      </c>
    </row>
    <row r="2673" spans="1:2" ht="15">
      <c r="A2673" s="77" t="s">
        <v>6429</v>
      </c>
      <c r="B2673" s="76" t="s">
        <v>10945</v>
      </c>
    </row>
    <row r="2674" spans="1:2" ht="15">
      <c r="A2674" s="77" t="s">
        <v>6430</v>
      </c>
      <c r="B2674" s="76" t="s">
        <v>10945</v>
      </c>
    </row>
    <row r="2675" spans="1:2" ht="15">
      <c r="A2675" s="77" t="s">
        <v>6431</v>
      </c>
      <c r="B2675" s="76" t="s">
        <v>10945</v>
      </c>
    </row>
    <row r="2676" spans="1:2" ht="15">
      <c r="A2676" s="77" t="s">
        <v>6432</v>
      </c>
      <c r="B2676" s="76" t="s">
        <v>10945</v>
      </c>
    </row>
    <row r="2677" spans="1:2" ht="15">
      <c r="A2677" s="77" t="s">
        <v>6433</v>
      </c>
      <c r="B2677" s="76" t="s">
        <v>10945</v>
      </c>
    </row>
    <row r="2678" spans="1:2" ht="15">
      <c r="A2678" s="77" t="s">
        <v>6434</v>
      </c>
      <c r="B2678" s="76" t="s">
        <v>10945</v>
      </c>
    </row>
    <row r="2679" spans="1:2" ht="15">
      <c r="A2679" s="77" t="s">
        <v>6435</v>
      </c>
      <c r="B2679" s="76" t="s">
        <v>10945</v>
      </c>
    </row>
    <row r="2680" spans="1:2" ht="15">
      <c r="A2680" s="77" t="s">
        <v>6436</v>
      </c>
      <c r="B2680" s="76" t="s">
        <v>10945</v>
      </c>
    </row>
    <row r="2681" spans="1:2" ht="15">
      <c r="A2681" s="77" t="s">
        <v>6437</v>
      </c>
      <c r="B2681" s="76" t="s">
        <v>10945</v>
      </c>
    </row>
    <row r="2682" spans="1:2" ht="15">
      <c r="A2682" s="77" t="s">
        <v>6438</v>
      </c>
      <c r="B2682" s="76" t="s">
        <v>10945</v>
      </c>
    </row>
    <row r="2683" spans="1:2" ht="15">
      <c r="A2683" s="77" t="s">
        <v>6439</v>
      </c>
      <c r="B2683" s="76" t="s">
        <v>10945</v>
      </c>
    </row>
    <row r="2684" spans="1:2" ht="15">
      <c r="A2684" s="77" t="s">
        <v>6440</v>
      </c>
      <c r="B2684" s="76" t="s">
        <v>10945</v>
      </c>
    </row>
    <row r="2685" spans="1:2" ht="15">
      <c r="A2685" s="77" t="s">
        <v>6441</v>
      </c>
      <c r="B2685" s="76" t="s">
        <v>10945</v>
      </c>
    </row>
    <row r="2686" spans="1:2" ht="15">
      <c r="A2686" s="77" t="s">
        <v>6442</v>
      </c>
      <c r="B2686" s="76" t="s">
        <v>10945</v>
      </c>
    </row>
    <row r="2687" spans="1:2" ht="15">
      <c r="A2687" s="77" t="s">
        <v>6443</v>
      </c>
      <c r="B2687" s="76" t="s">
        <v>10945</v>
      </c>
    </row>
    <row r="2688" spans="1:2" ht="15">
      <c r="A2688" s="77" t="s">
        <v>6444</v>
      </c>
      <c r="B2688" s="76" t="s">
        <v>10945</v>
      </c>
    </row>
    <row r="2689" spans="1:2" ht="15">
      <c r="A2689" s="77" t="s">
        <v>6445</v>
      </c>
      <c r="B2689" s="76" t="s">
        <v>10945</v>
      </c>
    </row>
    <row r="2690" spans="1:2" ht="15">
      <c r="A2690" s="77" t="s">
        <v>6446</v>
      </c>
      <c r="B2690" s="76" t="s">
        <v>10945</v>
      </c>
    </row>
    <row r="2691" spans="1:2" ht="15">
      <c r="A2691" s="77" t="s">
        <v>6447</v>
      </c>
      <c r="B2691" s="76" t="s">
        <v>10945</v>
      </c>
    </row>
    <row r="2692" spans="1:2" ht="15">
      <c r="A2692" s="77" t="s">
        <v>6448</v>
      </c>
      <c r="B2692" s="76" t="s">
        <v>10945</v>
      </c>
    </row>
    <row r="2693" spans="1:2" ht="15">
      <c r="A2693" s="77" t="s">
        <v>6449</v>
      </c>
      <c r="B2693" s="76" t="s">
        <v>10945</v>
      </c>
    </row>
    <row r="2694" spans="1:2" ht="15">
      <c r="A2694" s="77" t="s">
        <v>6450</v>
      </c>
      <c r="B2694" s="76" t="s">
        <v>10945</v>
      </c>
    </row>
    <row r="2695" spans="1:2" ht="15">
      <c r="A2695" s="77" t="s">
        <v>6451</v>
      </c>
      <c r="B2695" s="76" t="s">
        <v>10945</v>
      </c>
    </row>
    <row r="2696" spans="1:2" ht="15">
      <c r="A2696" s="77" t="s">
        <v>6452</v>
      </c>
      <c r="B2696" s="76" t="s">
        <v>10945</v>
      </c>
    </row>
    <row r="2697" spans="1:2" ht="15">
      <c r="A2697" s="77" t="s">
        <v>6453</v>
      </c>
      <c r="B2697" s="76" t="s">
        <v>10945</v>
      </c>
    </row>
    <row r="2698" spans="1:2" ht="15">
      <c r="A2698" s="77" t="s">
        <v>6454</v>
      </c>
      <c r="B2698" s="76" t="s">
        <v>10945</v>
      </c>
    </row>
    <row r="2699" spans="1:2" ht="15">
      <c r="A2699" s="77" t="s">
        <v>6455</v>
      </c>
      <c r="B2699" s="76" t="s">
        <v>10945</v>
      </c>
    </row>
    <row r="2700" spans="1:2" ht="15">
      <c r="A2700" s="77" t="s">
        <v>6456</v>
      </c>
      <c r="B2700" s="76" t="s">
        <v>10945</v>
      </c>
    </row>
    <row r="2701" spans="1:2" ht="15">
      <c r="A2701" s="77" t="s">
        <v>6457</v>
      </c>
      <c r="B2701" s="76" t="s">
        <v>10945</v>
      </c>
    </row>
    <row r="2702" spans="1:2" ht="15">
      <c r="A2702" s="77" t="s">
        <v>6458</v>
      </c>
      <c r="B2702" s="76" t="s">
        <v>10945</v>
      </c>
    </row>
    <row r="2703" spans="1:2" ht="15">
      <c r="A2703" s="77" t="s">
        <v>6459</v>
      </c>
      <c r="B2703" s="76" t="s">
        <v>10945</v>
      </c>
    </row>
    <row r="2704" spans="1:2" ht="15">
      <c r="A2704" s="77" t="s">
        <v>6460</v>
      </c>
      <c r="B2704" s="76" t="s">
        <v>10945</v>
      </c>
    </row>
    <row r="2705" spans="1:2" ht="15">
      <c r="A2705" s="77" t="s">
        <v>6461</v>
      </c>
      <c r="B2705" s="76" t="s">
        <v>10945</v>
      </c>
    </row>
    <row r="2706" spans="1:2" ht="15">
      <c r="A2706" s="77" t="s">
        <v>6462</v>
      </c>
      <c r="B2706" s="76" t="s">
        <v>10945</v>
      </c>
    </row>
    <row r="2707" spans="1:2" ht="15">
      <c r="A2707" s="77" t="s">
        <v>6463</v>
      </c>
      <c r="B2707" s="76" t="s">
        <v>10945</v>
      </c>
    </row>
    <row r="2708" spans="1:2" ht="15">
      <c r="A2708" s="77" t="s">
        <v>6464</v>
      </c>
      <c r="B2708" s="76" t="s">
        <v>10945</v>
      </c>
    </row>
    <row r="2709" spans="1:2" ht="15">
      <c r="A2709" s="77" t="s">
        <v>6465</v>
      </c>
      <c r="B2709" s="76" t="s">
        <v>10945</v>
      </c>
    </row>
    <row r="2710" spans="1:2" ht="15">
      <c r="A2710" s="77" t="s">
        <v>6466</v>
      </c>
      <c r="B2710" s="76" t="s">
        <v>10945</v>
      </c>
    </row>
    <row r="2711" spans="1:2" ht="15">
      <c r="A2711" s="77" t="s">
        <v>6467</v>
      </c>
      <c r="B2711" s="76" t="s">
        <v>10945</v>
      </c>
    </row>
    <row r="2712" spans="1:2" ht="15">
      <c r="A2712" s="77" t="s">
        <v>6468</v>
      </c>
      <c r="B2712" s="76" t="s">
        <v>10945</v>
      </c>
    </row>
    <row r="2713" spans="1:2" ht="15">
      <c r="A2713" s="77" t="s">
        <v>6469</v>
      </c>
      <c r="B2713" s="76" t="s">
        <v>10945</v>
      </c>
    </row>
    <row r="2714" spans="1:2" ht="15">
      <c r="A2714" s="77" t="s">
        <v>6470</v>
      </c>
      <c r="B2714" s="76" t="s">
        <v>10945</v>
      </c>
    </row>
    <row r="2715" spans="1:2" ht="15">
      <c r="A2715" s="77" t="s">
        <v>6471</v>
      </c>
      <c r="B2715" s="76" t="s">
        <v>10945</v>
      </c>
    </row>
    <row r="2716" spans="1:2" ht="15">
      <c r="A2716" s="77" t="s">
        <v>6472</v>
      </c>
      <c r="B2716" s="76" t="s">
        <v>10945</v>
      </c>
    </row>
    <row r="2717" spans="1:2" ht="15">
      <c r="A2717" s="77" t="s">
        <v>6473</v>
      </c>
      <c r="B2717" s="76" t="s">
        <v>10945</v>
      </c>
    </row>
    <row r="2718" spans="1:2" ht="15">
      <c r="A2718" s="77" t="s">
        <v>6474</v>
      </c>
      <c r="B2718" s="76" t="s">
        <v>10945</v>
      </c>
    </row>
    <row r="2719" spans="1:2" ht="15">
      <c r="A2719" s="77" t="s">
        <v>6475</v>
      </c>
      <c r="B2719" s="76" t="s">
        <v>10945</v>
      </c>
    </row>
    <row r="2720" spans="1:2" ht="15">
      <c r="A2720" s="77" t="s">
        <v>6476</v>
      </c>
      <c r="B2720" s="76" t="s">
        <v>10945</v>
      </c>
    </row>
    <row r="2721" spans="1:2" ht="15">
      <c r="A2721" s="77" t="s">
        <v>6477</v>
      </c>
      <c r="B2721" s="76" t="s">
        <v>10945</v>
      </c>
    </row>
    <row r="2722" spans="1:2" ht="15">
      <c r="A2722" s="77" t="s">
        <v>6478</v>
      </c>
      <c r="B2722" s="76" t="s">
        <v>10945</v>
      </c>
    </row>
    <row r="2723" spans="1:2" ht="15">
      <c r="A2723" s="77" t="s">
        <v>6479</v>
      </c>
      <c r="B2723" s="76" t="s">
        <v>10945</v>
      </c>
    </row>
    <row r="2724" spans="1:2" ht="15">
      <c r="A2724" s="77" t="s">
        <v>6480</v>
      </c>
      <c r="B2724" s="76" t="s">
        <v>10945</v>
      </c>
    </row>
    <row r="2725" spans="1:2" ht="15">
      <c r="A2725" s="77" t="s">
        <v>6481</v>
      </c>
      <c r="B2725" s="76" t="s">
        <v>10945</v>
      </c>
    </row>
    <row r="2726" spans="1:2" ht="15">
      <c r="A2726" s="77" t="s">
        <v>6482</v>
      </c>
      <c r="B2726" s="76" t="s">
        <v>10945</v>
      </c>
    </row>
    <row r="2727" spans="1:2" ht="15">
      <c r="A2727" s="77" t="s">
        <v>6483</v>
      </c>
      <c r="B2727" s="76" t="s">
        <v>10945</v>
      </c>
    </row>
    <row r="2728" spans="1:2" ht="15">
      <c r="A2728" s="77" t="s">
        <v>6484</v>
      </c>
      <c r="B2728" s="76" t="s">
        <v>10945</v>
      </c>
    </row>
    <row r="2729" spans="1:2" ht="15">
      <c r="A2729" s="77" t="s">
        <v>6485</v>
      </c>
      <c r="B2729" s="76" t="s">
        <v>10945</v>
      </c>
    </row>
    <row r="2730" spans="1:2" ht="15">
      <c r="A2730" s="77" t="s">
        <v>6486</v>
      </c>
      <c r="B2730" s="76" t="s">
        <v>10945</v>
      </c>
    </row>
    <row r="2731" spans="1:2" ht="15">
      <c r="A2731" s="77" t="s">
        <v>6487</v>
      </c>
      <c r="B2731" s="76" t="s">
        <v>10945</v>
      </c>
    </row>
    <row r="2732" spans="1:2" ht="15">
      <c r="A2732" s="77" t="s">
        <v>6488</v>
      </c>
      <c r="B2732" s="76" t="s">
        <v>10945</v>
      </c>
    </row>
    <row r="2733" spans="1:2" ht="15">
      <c r="A2733" s="77" t="s">
        <v>6489</v>
      </c>
      <c r="B2733" s="76" t="s">
        <v>10945</v>
      </c>
    </row>
    <row r="2734" spans="1:2" ht="15">
      <c r="A2734" s="77" t="s">
        <v>6490</v>
      </c>
      <c r="B2734" s="76" t="s">
        <v>10945</v>
      </c>
    </row>
    <row r="2735" spans="1:2" ht="15">
      <c r="A2735" s="77" t="s">
        <v>6491</v>
      </c>
      <c r="B2735" s="76" t="s">
        <v>10945</v>
      </c>
    </row>
    <row r="2736" spans="1:2" ht="15">
      <c r="A2736" s="77" t="s">
        <v>6492</v>
      </c>
      <c r="B2736" s="76" t="s">
        <v>10945</v>
      </c>
    </row>
    <row r="2737" spans="1:2" ht="15">
      <c r="A2737" s="77" t="s">
        <v>6493</v>
      </c>
      <c r="B2737" s="76" t="s">
        <v>10945</v>
      </c>
    </row>
    <row r="2738" spans="1:2" ht="15">
      <c r="A2738" s="77" t="s">
        <v>6494</v>
      </c>
      <c r="B2738" s="76" t="s">
        <v>10945</v>
      </c>
    </row>
    <row r="2739" spans="1:2" ht="15">
      <c r="A2739" s="77" t="s">
        <v>6495</v>
      </c>
      <c r="B2739" s="76" t="s">
        <v>10945</v>
      </c>
    </row>
    <row r="2740" spans="1:2" ht="15">
      <c r="A2740" s="77" t="s">
        <v>6496</v>
      </c>
      <c r="B2740" s="76" t="s">
        <v>10945</v>
      </c>
    </row>
    <row r="2741" spans="1:2" ht="15">
      <c r="A2741" s="77" t="s">
        <v>6497</v>
      </c>
      <c r="B2741" s="76" t="s">
        <v>10945</v>
      </c>
    </row>
    <row r="2742" spans="1:2" ht="15">
      <c r="A2742" s="77" t="s">
        <v>2753</v>
      </c>
      <c r="B2742" s="76" t="s">
        <v>10945</v>
      </c>
    </row>
    <row r="2743" spans="1:2" ht="15">
      <c r="A2743" s="77" t="s">
        <v>6498</v>
      </c>
      <c r="B2743" s="76" t="s">
        <v>10945</v>
      </c>
    </row>
    <row r="2744" spans="1:2" ht="15">
      <c r="A2744" s="77" t="s">
        <v>6499</v>
      </c>
      <c r="B2744" s="76" t="s">
        <v>10945</v>
      </c>
    </row>
    <row r="2745" spans="1:2" ht="15">
      <c r="A2745" s="77" t="s">
        <v>6500</v>
      </c>
      <c r="B2745" s="76" t="s">
        <v>10945</v>
      </c>
    </row>
    <row r="2746" spans="1:2" ht="15">
      <c r="A2746" s="77" t="s">
        <v>6501</v>
      </c>
      <c r="B2746" s="76" t="s">
        <v>10945</v>
      </c>
    </row>
    <row r="2747" spans="1:2" ht="15">
      <c r="A2747" s="77" t="s">
        <v>6502</v>
      </c>
      <c r="B2747" s="76" t="s">
        <v>10945</v>
      </c>
    </row>
    <row r="2748" spans="1:2" ht="15">
      <c r="A2748" s="77" t="s">
        <v>6503</v>
      </c>
      <c r="B2748" s="76" t="s">
        <v>10945</v>
      </c>
    </row>
    <row r="2749" spans="1:2" ht="15">
      <c r="A2749" s="77" t="s">
        <v>6504</v>
      </c>
      <c r="B2749" s="76" t="s">
        <v>10945</v>
      </c>
    </row>
    <row r="2750" spans="1:2" ht="15">
      <c r="A2750" s="77" t="s">
        <v>6505</v>
      </c>
      <c r="B2750" s="76" t="s">
        <v>10945</v>
      </c>
    </row>
    <row r="2751" spans="1:2" ht="15">
      <c r="A2751" s="77" t="s">
        <v>6506</v>
      </c>
      <c r="B2751" s="76" t="s">
        <v>10945</v>
      </c>
    </row>
    <row r="2752" spans="1:2" ht="15">
      <c r="A2752" s="77" t="s">
        <v>6507</v>
      </c>
      <c r="B2752" s="76" t="s">
        <v>10945</v>
      </c>
    </row>
    <row r="2753" spans="1:2" ht="15">
      <c r="A2753" s="77" t="s">
        <v>6508</v>
      </c>
      <c r="B2753" s="76" t="s">
        <v>10945</v>
      </c>
    </row>
    <row r="2754" spans="1:2" ht="15">
      <c r="A2754" s="77" t="s">
        <v>6509</v>
      </c>
      <c r="B2754" s="76" t="s">
        <v>10945</v>
      </c>
    </row>
    <row r="2755" spans="1:2" ht="15">
      <c r="A2755" s="77" t="s">
        <v>6510</v>
      </c>
      <c r="B2755" s="76" t="s">
        <v>10945</v>
      </c>
    </row>
    <row r="2756" spans="1:2" ht="15">
      <c r="A2756" s="77" t="s">
        <v>6511</v>
      </c>
      <c r="B2756" s="76" t="s">
        <v>10945</v>
      </c>
    </row>
    <row r="2757" spans="1:2" ht="15">
      <c r="A2757" s="77" t="s">
        <v>6512</v>
      </c>
      <c r="B2757" s="76" t="s">
        <v>10945</v>
      </c>
    </row>
    <row r="2758" spans="1:2" ht="15">
      <c r="A2758" s="77" t="s">
        <v>6513</v>
      </c>
      <c r="B2758" s="76" t="s">
        <v>10945</v>
      </c>
    </row>
    <row r="2759" spans="1:2" ht="15">
      <c r="A2759" s="77" t="s">
        <v>6514</v>
      </c>
      <c r="B2759" s="76" t="s">
        <v>10945</v>
      </c>
    </row>
    <row r="2760" spans="1:2" ht="15">
      <c r="A2760" s="77" t="s">
        <v>6515</v>
      </c>
      <c r="B2760" s="76" t="s">
        <v>10945</v>
      </c>
    </row>
    <row r="2761" spans="1:2" ht="15">
      <c r="A2761" s="77" t="s">
        <v>6516</v>
      </c>
      <c r="B2761" s="76" t="s">
        <v>10945</v>
      </c>
    </row>
    <row r="2762" spans="1:2" ht="15">
      <c r="A2762" s="77" t="s">
        <v>6517</v>
      </c>
      <c r="B2762" s="76" t="s">
        <v>10945</v>
      </c>
    </row>
    <row r="2763" spans="1:2" ht="15">
      <c r="A2763" s="77" t="s">
        <v>6518</v>
      </c>
      <c r="B2763" s="76" t="s">
        <v>10945</v>
      </c>
    </row>
    <row r="2764" spans="1:2" ht="15">
      <c r="A2764" s="77" t="s">
        <v>6519</v>
      </c>
      <c r="B2764" s="76" t="s">
        <v>10945</v>
      </c>
    </row>
    <row r="2765" spans="1:2" ht="15">
      <c r="A2765" s="77" t="s">
        <v>6520</v>
      </c>
      <c r="B2765" s="76" t="s">
        <v>10945</v>
      </c>
    </row>
    <row r="2766" spans="1:2" ht="15">
      <c r="A2766" s="77" t="s">
        <v>6521</v>
      </c>
      <c r="B2766" s="76" t="s">
        <v>10945</v>
      </c>
    </row>
    <row r="2767" spans="1:2" ht="15">
      <c r="A2767" s="77" t="s">
        <v>6522</v>
      </c>
      <c r="B2767" s="76" t="s">
        <v>10945</v>
      </c>
    </row>
    <row r="2768" spans="1:2" ht="15">
      <c r="A2768" s="77" t="s">
        <v>6523</v>
      </c>
      <c r="B2768" s="76" t="s">
        <v>10945</v>
      </c>
    </row>
    <row r="2769" spans="1:2" ht="15">
      <c r="A2769" s="77" t="s">
        <v>6524</v>
      </c>
      <c r="B2769" s="76" t="s">
        <v>10945</v>
      </c>
    </row>
    <row r="2770" spans="1:2" ht="15">
      <c r="A2770" s="77" t="s">
        <v>6525</v>
      </c>
      <c r="B2770" s="76" t="s">
        <v>10945</v>
      </c>
    </row>
    <row r="2771" spans="1:2" ht="15">
      <c r="A2771" s="77" t="s">
        <v>6526</v>
      </c>
      <c r="B2771" s="76" t="s">
        <v>10945</v>
      </c>
    </row>
    <row r="2772" spans="1:2" ht="15">
      <c r="A2772" s="77" t="s">
        <v>6527</v>
      </c>
      <c r="B2772" s="76" t="s">
        <v>10945</v>
      </c>
    </row>
    <row r="2773" spans="1:2" ht="15">
      <c r="A2773" s="77" t="s">
        <v>6528</v>
      </c>
      <c r="B2773" s="76" t="s">
        <v>10945</v>
      </c>
    </row>
    <row r="2774" spans="1:2" ht="15">
      <c r="A2774" s="77" t="s">
        <v>6529</v>
      </c>
      <c r="B2774" s="76" t="s">
        <v>10945</v>
      </c>
    </row>
    <row r="2775" spans="1:2" ht="15">
      <c r="A2775" s="77" t="s">
        <v>6530</v>
      </c>
      <c r="B2775" s="76" t="s">
        <v>10945</v>
      </c>
    </row>
    <row r="2776" spans="1:2" ht="15">
      <c r="A2776" s="77" t="s">
        <v>6531</v>
      </c>
      <c r="B2776" s="76" t="s">
        <v>10945</v>
      </c>
    </row>
    <row r="2777" spans="1:2" ht="15">
      <c r="A2777" s="77" t="s">
        <v>6532</v>
      </c>
      <c r="B2777" s="76" t="s">
        <v>10945</v>
      </c>
    </row>
    <row r="2778" spans="1:2" ht="15">
      <c r="A2778" s="77" t="s">
        <v>6533</v>
      </c>
      <c r="B2778" s="76" t="s">
        <v>10945</v>
      </c>
    </row>
    <row r="2779" spans="1:2" ht="15">
      <c r="A2779" s="77" t="s">
        <v>2511</v>
      </c>
      <c r="B2779" s="76" t="s">
        <v>10945</v>
      </c>
    </row>
    <row r="2780" spans="1:2" ht="15">
      <c r="A2780" s="77" t="s">
        <v>3276</v>
      </c>
      <c r="B2780" s="76" t="s">
        <v>10945</v>
      </c>
    </row>
    <row r="2781" spans="1:2" ht="15">
      <c r="A2781" s="77" t="s">
        <v>6534</v>
      </c>
      <c r="B2781" s="76" t="s">
        <v>10945</v>
      </c>
    </row>
    <row r="2782" spans="1:2" ht="15">
      <c r="A2782" s="77" t="s">
        <v>6535</v>
      </c>
      <c r="B2782" s="76" t="s">
        <v>10945</v>
      </c>
    </row>
    <row r="2783" spans="1:2" ht="15">
      <c r="A2783" s="77" t="s">
        <v>6536</v>
      </c>
      <c r="B2783" s="76" t="s">
        <v>10945</v>
      </c>
    </row>
    <row r="2784" spans="1:2" ht="15">
      <c r="A2784" s="77" t="s">
        <v>6537</v>
      </c>
      <c r="B2784" s="76" t="s">
        <v>10945</v>
      </c>
    </row>
    <row r="2785" spans="1:2" ht="15">
      <c r="A2785" s="77" t="s">
        <v>6538</v>
      </c>
      <c r="B2785" s="76" t="s">
        <v>10945</v>
      </c>
    </row>
    <row r="2786" spans="1:2" ht="15">
      <c r="A2786" s="77" t="s">
        <v>6539</v>
      </c>
      <c r="B2786" s="76" t="s">
        <v>10945</v>
      </c>
    </row>
    <row r="2787" spans="1:2" ht="15">
      <c r="A2787" s="77" t="s">
        <v>6540</v>
      </c>
      <c r="B2787" s="76" t="s">
        <v>10945</v>
      </c>
    </row>
    <row r="2788" spans="1:2" ht="15">
      <c r="A2788" s="77" t="s">
        <v>6541</v>
      </c>
      <c r="B2788" s="76" t="s">
        <v>10945</v>
      </c>
    </row>
    <row r="2789" spans="1:2" ht="15">
      <c r="A2789" s="77" t="s">
        <v>6542</v>
      </c>
      <c r="B2789" s="76" t="s">
        <v>10945</v>
      </c>
    </row>
    <row r="2790" spans="1:2" ht="15">
      <c r="A2790" s="77" t="s">
        <v>6543</v>
      </c>
      <c r="B2790" s="76" t="s">
        <v>10945</v>
      </c>
    </row>
    <row r="2791" spans="1:2" ht="15">
      <c r="A2791" s="77" t="s">
        <v>6544</v>
      </c>
      <c r="B2791" s="76" t="s">
        <v>10945</v>
      </c>
    </row>
    <row r="2792" spans="1:2" ht="15">
      <c r="A2792" s="77" t="s">
        <v>6545</v>
      </c>
      <c r="B2792" s="76" t="s">
        <v>10945</v>
      </c>
    </row>
    <row r="2793" spans="1:2" ht="15">
      <c r="A2793" s="77" t="s">
        <v>6546</v>
      </c>
      <c r="B2793" s="76" t="s">
        <v>10945</v>
      </c>
    </row>
    <row r="2794" spans="1:2" ht="15">
      <c r="A2794" s="77" t="s">
        <v>6547</v>
      </c>
      <c r="B2794" s="76" t="s">
        <v>10945</v>
      </c>
    </row>
    <row r="2795" spans="1:2" ht="15">
      <c r="A2795" s="77" t="s">
        <v>6548</v>
      </c>
      <c r="B2795" s="76" t="s">
        <v>10945</v>
      </c>
    </row>
    <row r="2796" spans="1:2" ht="15">
      <c r="A2796" s="77" t="s">
        <v>6549</v>
      </c>
      <c r="B2796" s="76" t="s">
        <v>10945</v>
      </c>
    </row>
    <row r="2797" spans="1:2" ht="15">
      <c r="A2797" s="77" t="s">
        <v>6550</v>
      </c>
      <c r="B2797" s="76" t="s">
        <v>10945</v>
      </c>
    </row>
    <row r="2798" spans="1:2" ht="15">
      <c r="A2798" s="77" t="s">
        <v>6551</v>
      </c>
      <c r="B2798" s="76" t="s">
        <v>10945</v>
      </c>
    </row>
    <row r="2799" spans="1:2" ht="15">
      <c r="A2799" s="77" t="s">
        <v>6552</v>
      </c>
      <c r="B2799" s="76" t="s">
        <v>10945</v>
      </c>
    </row>
    <row r="2800" spans="1:2" ht="15">
      <c r="A2800" s="77" t="s">
        <v>6553</v>
      </c>
      <c r="B2800" s="76" t="s">
        <v>10945</v>
      </c>
    </row>
    <row r="2801" spans="1:2" ht="15">
      <c r="A2801" s="77" t="s">
        <v>6554</v>
      </c>
      <c r="B2801" s="76" t="s">
        <v>10945</v>
      </c>
    </row>
    <row r="2802" spans="1:2" ht="15">
      <c r="A2802" s="77" t="s">
        <v>6555</v>
      </c>
      <c r="B2802" s="76" t="s">
        <v>10945</v>
      </c>
    </row>
    <row r="2803" spans="1:2" ht="15">
      <c r="A2803" s="77" t="s">
        <v>6556</v>
      </c>
      <c r="B2803" s="76" t="s">
        <v>10945</v>
      </c>
    </row>
    <row r="2804" spans="1:2" ht="15">
      <c r="A2804" s="77" t="s">
        <v>6557</v>
      </c>
      <c r="B2804" s="76" t="s">
        <v>10945</v>
      </c>
    </row>
    <row r="2805" spans="1:2" ht="15">
      <c r="A2805" s="77" t="s">
        <v>6558</v>
      </c>
      <c r="B2805" s="76" t="s">
        <v>10945</v>
      </c>
    </row>
    <row r="2806" spans="1:2" ht="15">
      <c r="A2806" s="77" t="s">
        <v>6559</v>
      </c>
      <c r="B2806" s="76" t="s">
        <v>10945</v>
      </c>
    </row>
    <row r="2807" spans="1:2" ht="15">
      <c r="A2807" s="77" t="s">
        <v>6560</v>
      </c>
      <c r="B2807" s="76" t="s">
        <v>10945</v>
      </c>
    </row>
    <row r="2808" spans="1:2" ht="15">
      <c r="A2808" s="77" t="s">
        <v>6561</v>
      </c>
      <c r="B2808" s="76" t="s">
        <v>10945</v>
      </c>
    </row>
    <row r="2809" spans="1:2" ht="15">
      <c r="A2809" s="77" t="s">
        <v>6562</v>
      </c>
      <c r="B2809" s="76" t="s">
        <v>10945</v>
      </c>
    </row>
    <row r="2810" spans="1:2" ht="15">
      <c r="A2810" s="77" t="s">
        <v>6563</v>
      </c>
      <c r="B2810" s="76" t="s">
        <v>10945</v>
      </c>
    </row>
    <row r="2811" spans="1:2" ht="15">
      <c r="A2811" s="77" t="s">
        <v>6564</v>
      </c>
      <c r="B2811" s="76" t="s">
        <v>10945</v>
      </c>
    </row>
    <row r="2812" spans="1:2" ht="15">
      <c r="A2812" s="77" t="s">
        <v>6565</v>
      </c>
      <c r="B2812" s="76" t="s">
        <v>10945</v>
      </c>
    </row>
    <row r="2813" spans="1:2" ht="15">
      <c r="A2813" s="77" t="s">
        <v>6566</v>
      </c>
      <c r="B2813" s="76" t="s">
        <v>10945</v>
      </c>
    </row>
    <row r="2814" spans="1:2" ht="15">
      <c r="A2814" s="77" t="s">
        <v>6567</v>
      </c>
      <c r="B2814" s="76" t="s">
        <v>10945</v>
      </c>
    </row>
    <row r="2815" spans="1:2" ht="15">
      <c r="A2815" s="77" t="s">
        <v>6568</v>
      </c>
      <c r="B2815" s="76" t="s">
        <v>10945</v>
      </c>
    </row>
    <row r="2816" spans="1:2" ht="15">
      <c r="A2816" s="77" t="s">
        <v>6569</v>
      </c>
      <c r="B2816" s="76" t="s">
        <v>10945</v>
      </c>
    </row>
    <row r="2817" spans="1:2" ht="15">
      <c r="A2817" s="77" t="s">
        <v>6570</v>
      </c>
      <c r="B2817" s="76" t="s">
        <v>10945</v>
      </c>
    </row>
    <row r="2818" spans="1:2" ht="15">
      <c r="A2818" s="77" t="s">
        <v>6571</v>
      </c>
      <c r="B2818" s="76" t="s">
        <v>10945</v>
      </c>
    </row>
    <row r="2819" spans="1:2" ht="15">
      <c r="A2819" s="77" t="s">
        <v>6572</v>
      </c>
      <c r="B2819" s="76" t="s">
        <v>10945</v>
      </c>
    </row>
    <row r="2820" spans="1:2" ht="15">
      <c r="A2820" s="77" t="s">
        <v>6573</v>
      </c>
      <c r="B2820" s="76" t="s">
        <v>10945</v>
      </c>
    </row>
    <row r="2821" spans="1:2" ht="15">
      <c r="A2821" s="77" t="s">
        <v>6574</v>
      </c>
      <c r="B2821" s="76" t="s">
        <v>10945</v>
      </c>
    </row>
    <row r="2822" spans="1:2" ht="15">
      <c r="A2822" s="77" t="s">
        <v>6575</v>
      </c>
      <c r="B2822" s="76" t="s">
        <v>10945</v>
      </c>
    </row>
    <row r="2823" spans="1:2" ht="15">
      <c r="A2823" s="77" t="s">
        <v>6576</v>
      </c>
      <c r="B2823" s="76" t="s">
        <v>10945</v>
      </c>
    </row>
    <row r="2824" spans="1:2" ht="15">
      <c r="A2824" s="77" t="s">
        <v>6577</v>
      </c>
      <c r="B2824" s="76" t="s">
        <v>10945</v>
      </c>
    </row>
    <row r="2825" spans="1:2" ht="15">
      <c r="A2825" s="77" t="s">
        <v>6578</v>
      </c>
      <c r="B2825" s="76" t="s">
        <v>10945</v>
      </c>
    </row>
    <row r="2826" spans="1:2" ht="15">
      <c r="A2826" s="77" t="s">
        <v>6579</v>
      </c>
      <c r="B2826" s="76" t="s">
        <v>10945</v>
      </c>
    </row>
    <row r="2827" spans="1:2" ht="15">
      <c r="A2827" s="77" t="s">
        <v>6580</v>
      </c>
      <c r="B2827" s="76" t="s">
        <v>10945</v>
      </c>
    </row>
    <row r="2828" spans="1:2" ht="15">
      <c r="A2828" s="77" t="s">
        <v>6581</v>
      </c>
      <c r="B2828" s="76" t="s">
        <v>10945</v>
      </c>
    </row>
    <row r="2829" spans="1:2" ht="15">
      <c r="A2829" s="77" t="s">
        <v>6582</v>
      </c>
      <c r="B2829" s="76" t="s">
        <v>10945</v>
      </c>
    </row>
    <row r="2830" spans="1:2" ht="15">
      <c r="A2830" s="77" t="s">
        <v>6583</v>
      </c>
      <c r="B2830" s="76" t="s">
        <v>10945</v>
      </c>
    </row>
    <row r="2831" spans="1:2" ht="15">
      <c r="A2831" s="77" t="s">
        <v>6584</v>
      </c>
      <c r="B2831" s="76" t="s">
        <v>10945</v>
      </c>
    </row>
    <row r="2832" spans="1:2" ht="15">
      <c r="A2832" s="77" t="s">
        <v>6585</v>
      </c>
      <c r="B2832" s="76" t="s">
        <v>10945</v>
      </c>
    </row>
    <row r="2833" spans="1:2" ht="15">
      <c r="A2833" s="77" t="s">
        <v>6586</v>
      </c>
      <c r="B2833" s="76" t="s">
        <v>10945</v>
      </c>
    </row>
    <row r="2834" spans="1:2" ht="15">
      <c r="A2834" s="77" t="s">
        <v>6587</v>
      </c>
      <c r="B2834" s="76" t="s">
        <v>10945</v>
      </c>
    </row>
    <row r="2835" spans="1:2" ht="15">
      <c r="A2835" s="77" t="s">
        <v>6588</v>
      </c>
      <c r="B2835" s="76" t="s">
        <v>10945</v>
      </c>
    </row>
    <row r="2836" spans="1:2" ht="15">
      <c r="A2836" s="77" t="s">
        <v>6589</v>
      </c>
      <c r="B2836" s="76" t="s">
        <v>10945</v>
      </c>
    </row>
    <row r="2837" spans="1:2" ht="15">
      <c r="A2837" s="77" t="s">
        <v>6590</v>
      </c>
      <c r="B2837" s="76" t="s">
        <v>10945</v>
      </c>
    </row>
    <row r="2838" spans="1:2" ht="15">
      <c r="A2838" s="77" t="s">
        <v>6591</v>
      </c>
      <c r="B2838" s="76" t="s">
        <v>10945</v>
      </c>
    </row>
    <row r="2839" spans="1:2" ht="15">
      <c r="A2839" s="77" t="s">
        <v>6592</v>
      </c>
      <c r="B2839" s="76" t="s">
        <v>10945</v>
      </c>
    </row>
    <row r="2840" spans="1:2" ht="15">
      <c r="A2840" s="77" t="s">
        <v>6593</v>
      </c>
      <c r="B2840" s="76" t="s">
        <v>10945</v>
      </c>
    </row>
    <row r="2841" spans="1:2" ht="15">
      <c r="A2841" s="77" t="s">
        <v>6594</v>
      </c>
      <c r="B2841" s="76" t="s">
        <v>10945</v>
      </c>
    </row>
    <row r="2842" spans="1:2" ht="15">
      <c r="A2842" s="77" t="s">
        <v>6595</v>
      </c>
      <c r="B2842" s="76" t="s">
        <v>10945</v>
      </c>
    </row>
    <row r="2843" spans="1:2" ht="15">
      <c r="A2843" s="77" t="s">
        <v>6596</v>
      </c>
      <c r="B2843" s="76" t="s">
        <v>10945</v>
      </c>
    </row>
    <row r="2844" spans="1:2" ht="15">
      <c r="A2844" s="77" t="s">
        <v>6597</v>
      </c>
      <c r="B2844" s="76" t="s">
        <v>10945</v>
      </c>
    </row>
    <row r="2845" spans="1:2" ht="15">
      <c r="A2845" s="77" t="s">
        <v>6598</v>
      </c>
      <c r="B2845" s="76" t="s">
        <v>10945</v>
      </c>
    </row>
    <row r="2846" spans="1:2" ht="15">
      <c r="A2846" s="77" t="s">
        <v>6599</v>
      </c>
      <c r="B2846" s="76" t="s">
        <v>10945</v>
      </c>
    </row>
    <row r="2847" spans="1:2" ht="15">
      <c r="A2847" s="77" t="s">
        <v>6600</v>
      </c>
      <c r="B2847" s="76" t="s">
        <v>10945</v>
      </c>
    </row>
    <row r="2848" spans="1:2" ht="15">
      <c r="A2848" s="77" t="s">
        <v>6601</v>
      </c>
      <c r="B2848" s="76" t="s">
        <v>10945</v>
      </c>
    </row>
    <row r="2849" spans="1:2" ht="15">
      <c r="A2849" s="77" t="s">
        <v>6602</v>
      </c>
      <c r="B2849" s="76" t="s">
        <v>10945</v>
      </c>
    </row>
    <row r="2850" spans="1:2" ht="15">
      <c r="A2850" s="77" t="s">
        <v>6603</v>
      </c>
      <c r="B2850" s="76" t="s">
        <v>10945</v>
      </c>
    </row>
    <row r="2851" spans="1:2" ht="15">
      <c r="A2851" s="77" t="s">
        <v>6604</v>
      </c>
      <c r="B2851" s="76" t="s">
        <v>10945</v>
      </c>
    </row>
    <row r="2852" spans="1:2" ht="15">
      <c r="A2852" s="77" t="s">
        <v>6605</v>
      </c>
      <c r="B2852" s="76" t="s">
        <v>10945</v>
      </c>
    </row>
    <row r="2853" spans="1:2" ht="15">
      <c r="A2853" s="77" t="s">
        <v>6606</v>
      </c>
      <c r="B2853" s="76" t="s">
        <v>10945</v>
      </c>
    </row>
    <row r="2854" spans="1:2" ht="15">
      <c r="A2854" s="77" t="s">
        <v>6607</v>
      </c>
      <c r="B2854" s="76" t="s">
        <v>10945</v>
      </c>
    </row>
    <row r="2855" spans="1:2" ht="15">
      <c r="A2855" s="77" t="s">
        <v>6608</v>
      </c>
      <c r="B2855" s="76" t="s">
        <v>10945</v>
      </c>
    </row>
    <row r="2856" spans="1:2" ht="15">
      <c r="A2856" s="77" t="s">
        <v>6609</v>
      </c>
      <c r="B2856" s="76" t="s">
        <v>10945</v>
      </c>
    </row>
    <row r="2857" spans="1:2" ht="15">
      <c r="A2857" s="77" t="s">
        <v>6610</v>
      </c>
      <c r="B2857" s="76" t="s">
        <v>10945</v>
      </c>
    </row>
    <row r="2858" spans="1:2" ht="15">
      <c r="A2858" s="77" t="s">
        <v>6611</v>
      </c>
      <c r="B2858" s="76" t="s">
        <v>10945</v>
      </c>
    </row>
    <row r="2859" spans="1:2" ht="15">
      <c r="A2859" s="77" t="s">
        <v>6612</v>
      </c>
      <c r="B2859" s="76" t="s">
        <v>10945</v>
      </c>
    </row>
    <row r="2860" spans="1:2" ht="15">
      <c r="A2860" s="77" t="s">
        <v>6613</v>
      </c>
      <c r="B2860" s="76" t="s">
        <v>10945</v>
      </c>
    </row>
    <row r="2861" spans="1:2" ht="15">
      <c r="A2861" s="77" t="s">
        <v>6614</v>
      </c>
      <c r="B2861" s="76" t="s">
        <v>10945</v>
      </c>
    </row>
    <row r="2862" spans="1:2" ht="15">
      <c r="A2862" s="77" t="s">
        <v>6615</v>
      </c>
      <c r="B2862" s="76" t="s">
        <v>10945</v>
      </c>
    </row>
    <row r="2863" spans="1:2" ht="15">
      <c r="A2863" s="77" t="s">
        <v>6616</v>
      </c>
      <c r="B2863" s="76" t="s">
        <v>10945</v>
      </c>
    </row>
    <row r="2864" spans="1:2" ht="15">
      <c r="A2864" s="77" t="s">
        <v>6617</v>
      </c>
      <c r="B2864" s="76" t="s">
        <v>10945</v>
      </c>
    </row>
    <row r="2865" spans="1:2" ht="15">
      <c r="A2865" s="77" t="s">
        <v>6618</v>
      </c>
      <c r="B2865" s="76" t="s">
        <v>10945</v>
      </c>
    </row>
    <row r="2866" spans="1:2" ht="15">
      <c r="A2866" s="77" t="s">
        <v>6619</v>
      </c>
      <c r="B2866" s="76" t="s">
        <v>10945</v>
      </c>
    </row>
    <row r="2867" spans="1:2" ht="15">
      <c r="A2867" s="77" t="s">
        <v>6620</v>
      </c>
      <c r="B2867" s="76" t="s">
        <v>10945</v>
      </c>
    </row>
    <row r="2868" spans="1:2" ht="15">
      <c r="A2868" s="77" t="s">
        <v>6621</v>
      </c>
      <c r="B2868" s="76" t="s">
        <v>10945</v>
      </c>
    </row>
    <row r="2869" spans="1:2" ht="15">
      <c r="A2869" s="77" t="s">
        <v>6622</v>
      </c>
      <c r="B2869" s="76" t="s">
        <v>10945</v>
      </c>
    </row>
    <row r="2870" spans="1:2" ht="15">
      <c r="A2870" s="77" t="s">
        <v>6623</v>
      </c>
      <c r="B2870" s="76" t="s">
        <v>10945</v>
      </c>
    </row>
    <row r="2871" spans="1:2" ht="15">
      <c r="A2871" s="77" t="s">
        <v>6624</v>
      </c>
      <c r="B2871" s="76" t="s">
        <v>10945</v>
      </c>
    </row>
    <row r="2872" spans="1:2" ht="15">
      <c r="A2872" s="77" t="s">
        <v>6625</v>
      </c>
      <c r="B2872" s="76" t="s">
        <v>10945</v>
      </c>
    </row>
    <row r="2873" spans="1:2" ht="15">
      <c r="A2873" s="77" t="s">
        <v>6626</v>
      </c>
      <c r="B2873" s="76" t="s">
        <v>10945</v>
      </c>
    </row>
    <row r="2874" spans="1:2" ht="15">
      <c r="A2874" s="77" t="s">
        <v>6627</v>
      </c>
      <c r="B2874" s="76" t="s">
        <v>10945</v>
      </c>
    </row>
    <row r="2875" spans="1:2" ht="15">
      <c r="A2875" s="77" t="s">
        <v>6628</v>
      </c>
      <c r="B2875" s="76" t="s">
        <v>10945</v>
      </c>
    </row>
    <row r="2876" spans="1:2" ht="15">
      <c r="A2876" s="77" t="s">
        <v>6629</v>
      </c>
      <c r="B2876" s="76" t="s">
        <v>10945</v>
      </c>
    </row>
    <row r="2877" spans="1:2" ht="15">
      <c r="A2877" s="77" t="s">
        <v>6630</v>
      </c>
      <c r="B2877" s="76" t="s">
        <v>10945</v>
      </c>
    </row>
    <row r="2878" spans="1:2" ht="15">
      <c r="A2878" s="77" t="s">
        <v>6631</v>
      </c>
      <c r="B2878" s="76" t="s">
        <v>10945</v>
      </c>
    </row>
    <row r="2879" spans="1:2" ht="15">
      <c r="A2879" s="77" t="s">
        <v>2888</v>
      </c>
      <c r="B2879" s="76" t="s">
        <v>10945</v>
      </c>
    </row>
    <row r="2880" spans="1:2" ht="15">
      <c r="A2880" s="77" t="s">
        <v>6632</v>
      </c>
      <c r="B2880" s="76" t="s">
        <v>10945</v>
      </c>
    </row>
    <row r="2881" spans="1:2" ht="15">
      <c r="A2881" s="77" t="s">
        <v>6633</v>
      </c>
      <c r="B2881" s="76" t="s">
        <v>10945</v>
      </c>
    </row>
    <row r="2882" spans="1:2" ht="15">
      <c r="A2882" s="77" t="s">
        <v>6634</v>
      </c>
      <c r="B2882" s="76" t="s">
        <v>10945</v>
      </c>
    </row>
    <row r="2883" spans="1:2" ht="15">
      <c r="A2883" s="77" t="s">
        <v>6635</v>
      </c>
      <c r="B2883" s="76" t="s">
        <v>10945</v>
      </c>
    </row>
    <row r="2884" spans="1:2" ht="15">
      <c r="A2884" s="77" t="s">
        <v>6636</v>
      </c>
      <c r="B2884" s="76" t="s">
        <v>10945</v>
      </c>
    </row>
    <row r="2885" spans="1:2" ht="15">
      <c r="A2885" s="77" t="s">
        <v>6637</v>
      </c>
      <c r="B2885" s="76" t="s">
        <v>10945</v>
      </c>
    </row>
    <row r="2886" spans="1:2" ht="15">
      <c r="A2886" s="77" t="s">
        <v>6638</v>
      </c>
      <c r="B2886" s="76" t="s">
        <v>10945</v>
      </c>
    </row>
    <row r="2887" spans="1:2" ht="15">
      <c r="A2887" s="77" t="s">
        <v>6639</v>
      </c>
      <c r="B2887" s="76" t="s">
        <v>10945</v>
      </c>
    </row>
    <row r="2888" spans="1:2" ht="15">
      <c r="A2888" s="77" t="s">
        <v>6640</v>
      </c>
      <c r="B2888" s="76" t="s">
        <v>10945</v>
      </c>
    </row>
    <row r="2889" spans="1:2" ht="15">
      <c r="A2889" s="77" t="s">
        <v>6641</v>
      </c>
      <c r="B2889" s="76" t="s">
        <v>10945</v>
      </c>
    </row>
    <row r="2890" spans="1:2" ht="15">
      <c r="A2890" s="77" t="s">
        <v>6642</v>
      </c>
      <c r="B2890" s="76" t="s">
        <v>10945</v>
      </c>
    </row>
    <row r="2891" spans="1:2" ht="15">
      <c r="A2891" s="77" t="s">
        <v>6643</v>
      </c>
      <c r="B2891" s="76" t="s">
        <v>10945</v>
      </c>
    </row>
    <row r="2892" spans="1:2" ht="15">
      <c r="A2892" s="77" t="s">
        <v>6644</v>
      </c>
      <c r="B2892" s="76" t="s">
        <v>10945</v>
      </c>
    </row>
    <row r="2893" spans="1:2" ht="15">
      <c r="A2893" s="77" t="s">
        <v>6645</v>
      </c>
      <c r="B2893" s="76" t="s">
        <v>10945</v>
      </c>
    </row>
    <row r="2894" spans="1:2" ht="15">
      <c r="A2894" s="77" t="s">
        <v>6646</v>
      </c>
      <c r="B2894" s="76" t="s">
        <v>10945</v>
      </c>
    </row>
    <row r="2895" spans="1:2" ht="15">
      <c r="A2895" s="77" t="s">
        <v>6647</v>
      </c>
      <c r="B2895" s="76" t="s">
        <v>10945</v>
      </c>
    </row>
    <row r="2896" spans="1:2" ht="15">
      <c r="A2896" s="77" t="s">
        <v>6648</v>
      </c>
      <c r="B2896" s="76" t="s">
        <v>10945</v>
      </c>
    </row>
    <row r="2897" spans="1:2" ht="15">
      <c r="A2897" s="77" t="s">
        <v>6649</v>
      </c>
      <c r="B2897" s="76" t="s">
        <v>10945</v>
      </c>
    </row>
    <row r="2898" spans="1:2" ht="15">
      <c r="A2898" s="77" t="s">
        <v>6650</v>
      </c>
      <c r="B2898" s="76" t="s">
        <v>10945</v>
      </c>
    </row>
    <row r="2899" spans="1:2" ht="15">
      <c r="A2899" s="77" t="s">
        <v>6651</v>
      </c>
      <c r="B2899" s="76" t="s">
        <v>10945</v>
      </c>
    </row>
    <row r="2900" spans="1:2" ht="15">
      <c r="A2900" s="77" t="s">
        <v>6652</v>
      </c>
      <c r="B2900" s="76" t="s">
        <v>10945</v>
      </c>
    </row>
    <row r="2901" spans="1:2" ht="15">
      <c r="A2901" s="77" t="s">
        <v>6653</v>
      </c>
      <c r="B2901" s="76" t="s">
        <v>10945</v>
      </c>
    </row>
    <row r="2902" spans="1:2" ht="15">
      <c r="A2902" s="77" t="s">
        <v>6654</v>
      </c>
      <c r="B2902" s="76" t="s">
        <v>10945</v>
      </c>
    </row>
    <row r="2903" spans="1:2" ht="15">
      <c r="A2903" s="77" t="s">
        <v>6655</v>
      </c>
      <c r="B2903" s="76" t="s">
        <v>10945</v>
      </c>
    </row>
    <row r="2904" spans="1:2" ht="15">
      <c r="A2904" s="77" t="s">
        <v>6656</v>
      </c>
      <c r="B2904" s="76" t="s">
        <v>10945</v>
      </c>
    </row>
    <row r="2905" spans="1:2" ht="15">
      <c r="A2905" s="77" t="s">
        <v>6657</v>
      </c>
      <c r="B2905" s="76" t="s">
        <v>10945</v>
      </c>
    </row>
    <row r="2906" spans="1:2" ht="15">
      <c r="A2906" s="77" t="s">
        <v>6658</v>
      </c>
      <c r="B2906" s="76" t="s">
        <v>10945</v>
      </c>
    </row>
    <row r="2907" spans="1:2" ht="15">
      <c r="A2907" s="77" t="s">
        <v>6659</v>
      </c>
      <c r="B2907" s="76" t="s">
        <v>10945</v>
      </c>
    </row>
    <row r="2908" spans="1:2" ht="15">
      <c r="A2908" s="77" t="s">
        <v>6660</v>
      </c>
      <c r="B2908" s="76" t="s">
        <v>10945</v>
      </c>
    </row>
    <row r="2909" spans="1:2" ht="15">
      <c r="A2909" s="77" t="s">
        <v>6661</v>
      </c>
      <c r="B2909" s="76" t="s">
        <v>10945</v>
      </c>
    </row>
    <row r="2910" spans="1:2" ht="15">
      <c r="A2910" s="77" t="s">
        <v>6662</v>
      </c>
      <c r="B2910" s="76" t="s">
        <v>10945</v>
      </c>
    </row>
    <row r="2911" spans="1:2" ht="15">
      <c r="A2911" s="77" t="s">
        <v>6663</v>
      </c>
      <c r="B2911" s="76" t="s">
        <v>10945</v>
      </c>
    </row>
    <row r="2912" spans="1:2" ht="15">
      <c r="A2912" s="77" t="s">
        <v>6664</v>
      </c>
      <c r="B2912" s="76" t="s">
        <v>10945</v>
      </c>
    </row>
    <row r="2913" spans="1:2" ht="15">
      <c r="A2913" s="77" t="s">
        <v>6665</v>
      </c>
      <c r="B2913" s="76" t="s">
        <v>10945</v>
      </c>
    </row>
    <row r="2914" spans="1:2" ht="15">
      <c r="A2914" s="77" t="s">
        <v>6666</v>
      </c>
      <c r="B2914" s="76" t="s">
        <v>10945</v>
      </c>
    </row>
    <row r="2915" spans="1:2" ht="15">
      <c r="A2915" s="77" t="s">
        <v>6667</v>
      </c>
      <c r="B2915" s="76" t="s">
        <v>10945</v>
      </c>
    </row>
    <row r="2916" spans="1:2" ht="15">
      <c r="A2916" s="77" t="s">
        <v>6668</v>
      </c>
      <c r="B2916" s="76" t="s">
        <v>10945</v>
      </c>
    </row>
    <row r="2917" spans="1:2" ht="15">
      <c r="A2917" s="77" t="s">
        <v>6669</v>
      </c>
      <c r="B2917" s="76" t="s">
        <v>10945</v>
      </c>
    </row>
    <row r="2918" spans="1:2" ht="15">
      <c r="A2918" s="77" t="s">
        <v>6670</v>
      </c>
      <c r="B2918" s="76" t="s">
        <v>10945</v>
      </c>
    </row>
    <row r="2919" spans="1:2" ht="15">
      <c r="A2919" s="77" t="s">
        <v>6671</v>
      </c>
      <c r="B2919" s="76" t="s">
        <v>10945</v>
      </c>
    </row>
    <row r="2920" spans="1:2" ht="15">
      <c r="A2920" s="77" t="s">
        <v>6672</v>
      </c>
      <c r="B2920" s="76" t="s">
        <v>10945</v>
      </c>
    </row>
    <row r="2921" spans="1:2" ht="15">
      <c r="A2921" s="77" t="s">
        <v>6673</v>
      </c>
      <c r="B2921" s="76" t="s">
        <v>10945</v>
      </c>
    </row>
    <row r="2922" spans="1:2" ht="15">
      <c r="A2922" s="77" t="s">
        <v>6674</v>
      </c>
      <c r="B2922" s="76" t="s">
        <v>10945</v>
      </c>
    </row>
    <row r="2923" spans="1:2" ht="15">
      <c r="A2923" s="77" t="s">
        <v>6675</v>
      </c>
      <c r="B2923" s="76" t="s">
        <v>10945</v>
      </c>
    </row>
    <row r="2924" spans="1:2" ht="15">
      <c r="A2924" s="77" t="s">
        <v>6676</v>
      </c>
      <c r="B2924" s="76" t="s">
        <v>10945</v>
      </c>
    </row>
    <row r="2925" spans="1:2" ht="15">
      <c r="A2925" s="77" t="s">
        <v>6677</v>
      </c>
      <c r="B2925" s="76" t="s">
        <v>10945</v>
      </c>
    </row>
    <row r="2926" spans="1:2" ht="15">
      <c r="A2926" s="77" t="s">
        <v>6678</v>
      </c>
      <c r="B2926" s="76" t="s">
        <v>10945</v>
      </c>
    </row>
    <row r="2927" spans="1:2" ht="15">
      <c r="A2927" s="77" t="s">
        <v>6679</v>
      </c>
      <c r="B2927" s="76" t="s">
        <v>10945</v>
      </c>
    </row>
    <row r="2928" spans="1:2" ht="15">
      <c r="A2928" s="77" t="s">
        <v>6680</v>
      </c>
      <c r="B2928" s="76" t="s">
        <v>10945</v>
      </c>
    </row>
    <row r="2929" spans="1:2" ht="15">
      <c r="A2929" s="77" t="s">
        <v>6681</v>
      </c>
      <c r="B2929" s="76" t="s">
        <v>10945</v>
      </c>
    </row>
    <row r="2930" spans="1:2" ht="15">
      <c r="A2930" s="77" t="s">
        <v>6682</v>
      </c>
      <c r="B2930" s="76" t="s">
        <v>10945</v>
      </c>
    </row>
    <row r="2931" spans="1:2" ht="15">
      <c r="A2931" s="77" t="s">
        <v>6683</v>
      </c>
      <c r="B2931" s="76" t="s">
        <v>10945</v>
      </c>
    </row>
    <row r="2932" spans="1:2" ht="15">
      <c r="A2932" s="77" t="s">
        <v>6684</v>
      </c>
      <c r="B2932" s="76" t="s">
        <v>10945</v>
      </c>
    </row>
    <row r="2933" spans="1:2" ht="15">
      <c r="A2933" s="77" t="s">
        <v>6685</v>
      </c>
      <c r="B2933" s="76" t="s">
        <v>10945</v>
      </c>
    </row>
    <row r="2934" spans="1:2" ht="15">
      <c r="A2934" s="77" t="s">
        <v>6686</v>
      </c>
      <c r="B2934" s="76" t="s">
        <v>10945</v>
      </c>
    </row>
    <row r="2935" spans="1:2" ht="15">
      <c r="A2935" s="77" t="s">
        <v>6687</v>
      </c>
      <c r="B2935" s="76" t="s">
        <v>10945</v>
      </c>
    </row>
    <row r="2936" spans="1:2" ht="15">
      <c r="A2936" s="77" t="s">
        <v>6688</v>
      </c>
      <c r="B2936" s="76" t="s">
        <v>10945</v>
      </c>
    </row>
    <row r="2937" spans="1:2" ht="15">
      <c r="A2937" s="77" t="s">
        <v>6689</v>
      </c>
      <c r="B2937" s="76" t="s">
        <v>10945</v>
      </c>
    </row>
    <row r="2938" spans="1:2" ht="15">
      <c r="A2938" s="77" t="s">
        <v>6690</v>
      </c>
      <c r="B2938" s="76" t="s">
        <v>10945</v>
      </c>
    </row>
    <row r="2939" spans="1:2" ht="15">
      <c r="A2939" s="77" t="s">
        <v>6691</v>
      </c>
      <c r="B2939" s="76" t="s">
        <v>10945</v>
      </c>
    </row>
    <row r="2940" spans="1:2" ht="15">
      <c r="A2940" s="77" t="s">
        <v>6692</v>
      </c>
      <c r="B2940" s="76" t="s">
        <v>10945</v>
      </c>
    </row>
    <row r="2941" spans="1:2" ht="15">
      <c r="A2941" s="77" t="s">
        <v>6693</v>
      </c>
      <c r="B2941" s="76" t="s">
        <v>10945</v>
      </c>
    </row>
    <row r="2942" spans="1:2" ht="15">
      <c r="A2942" s="77" t="s">
        <v>6694</v>
      </c>
      <c r="B2942" s="76" t="s">
        <v>10945</v>
      </c>
    </row>
    <row r="2943" spans="1:2" ht="15">
      <c r="A2943" s="77" t="s">
        <v>6695</v>
      </c>
      <c r="B2943" s="76" t="s">
        <v>10945</v>
      </c>
    </row>
    <row r="2944" spans="1:2" ht="15">
      <c r="A2944" s="77" t="s">
        <v>6696</v>
      </c>
      <c r="B2944" s="76" t="s">
        <v>10945</v>
      </c>
    </row>
    <row r="2945" spans="1:2" ht="15">
      <c r="A2945" s="77" t="s">
        <v>6697</v>
      </c>
      <c r="B2945" s="76" t="s">
        <v>10945</v>
      </c>
    </row>
    <row r="2946" spans="1:2" ht="15">
      <c r="A2946" s="77" t="s">
        <v>6698</v>
      </c>
      <c r="B2946" s="76" t="s">
        <v>10945</v>
      </c>
    </row>
    <row r="2947" spans="1:2" ht="15">
      <c r="A2947" s="77" t="s">
        <v>6699</v>
      </c>
      <c r="B2947" s="76" t="s">
        <v>10945</v>
      </c>
    </row>
    <row r="2948" spans="1:2" ht="15">
      <c r="A2948" s="77" t="s">
        <v>6700</v>
      </c>
      <c r="B2948" s="76" t="s">
        <v>10945</v>
      </c>
    </row>
    <row r="2949" spans="1:2" ht="15">
      <c r="A2949" s="77" t="s">
        <v>6701</v>
      </c>
      <c r="B2949" s="76" t="s">
        <v>10945</v>
      </c>
    </row>
    <row r="2950" spans="1:2" ht="15">
      <c r="A2950" s="77" t="s">
        <v>6702</v>
      </c>
      <c r="B2950" s="76" t="s">
        <v>10945</v>
      </c>
    </row>
    <row r="2951" spans="1:2" ht="15">
      <c r="A2951" s="77" t="s">
        <v>6703</v>
      </c>
      <c r="B2951" s="76" t="s">
        <v>10945</v>
      </c>
    </row>
    <row r="2952" spans="1:2" ht="15">
      <c r="A2952" s="77" t="s">
        <v>6704</v>
      </c>
      <c r="B2952" s="76" t="s">
        <v>10945</v>
      </c>
    </row>
    <row r="2953" spans="1:2" ht="15">
      <c r="A2953" s="77" t="s">
        <v>6705</v>
      </c>
      <c r="B2953" s="76" t="s">
        <v>10945</v>
      </c>
    </row>
    <row r="2954" spans="1:2" ht="15">
      <c r="A2954" s="77" t="s">
        <v>6706</v>
      </c>
      <c r="B2954" s="76" t="s">
        <v>10945</v>
      </c>
    </row>
    <row r="2955" spans="1:2" ht="15">
      <c r="A2955" s="77" t="s">
        <v>6707</v>
      </c>
      <c r="B2955" s="76" t="s">
        <v>10945</v>
      </c>
    </row>
    <row r="2956" spans="1:2" ht="15">
      <c r="A2956" s="77" t="s">
        <v>6708</v>
      </c>
      <c r="B2956" s="76" t="s">
        <v>10945</v>
      </c>
    </row>
    <row r="2957" spans="1:2" ht="15">
      <c r="A2957" s="77" t="s">
        <v>6709</v>
      </c>
      <c r="B2957" s="76" t="s">
        <v>10945</v>
      </c>
    </row>
    <row r="2958" spans="1:2" ht="15">
      <c r="A2958" s="77" t="s">
        <v>6710</v>
      </c>
      <c r="B2958" s="76" t="s">
        <v>10945</v>
      </c>
    </row>
    <row r="2959" spans="1:2" ht="15">
      <c r="A2959" s="77" t="s">
        <v>6711</v>
      </c>
      <c r="B2959" s="76" t="s">
        <v>10945</v>
      </c>
    </row>
    <row r="2960" spans="1:2" ht="15">
      <c r="A2960" s="77" t="s">
        <v>6712</v>
      </c>
      <c r="B2960" s="76" t="s">
        <v>10945</v>
      </c>
    </row>
    <row r="2961" spans="1:2" ht="15">
      <c r="A2961" s="77" t="s">
        <v>6713</v>
      </c>
      <c r="B2961" s="76" t="s">
        <v>10945</v>
      </c>
    </row>
    <row r="2962" spans="1:2" ht="15">
      <c r="A2962" s="77" t="s">
        <v>6714</v>
      </c>
      <c r="B2962" s="76" t="s">
        <v>10945</v>
      </c>
    </row>
    <row r="2963" spans="1:2" ht="15">
      <c r="A2963" s="77" t="s">
        <v>6715</v>
      </c>
      <c r="B2963" s="76" t="s">
        <v>10945</v>
      </c>
    </row>
    <row r="2964" spans="1:2" ht="15">
      <c r="A2964" s="77" t="s">
        <v>2731</v>
      </c>
      <c r="B2964" s="76" t="s">
        <v>10945</v>
      </c>
    </row>
    <row r="2965" spans="1:2" ht="15">
      <c r="A2965" s="77" t="s">
        <v>3428</v>
      </c>
      <c r="B2965" s="76" t="s">
        <v>10945</v>
      </c>
    </row>
    <row r="2966" spans="1:2" ht="15">
      <c r="A2966" s="77" t="s">
        <v>6716</v>
      </c>
      <c r="B2966" s="76" t="s">
        <v>10945</v>
      </c>
    </row>
    <row r="2967" spans="1:2" ht="15">
      <c r="A2967" s="77" t="s">
        <v>6717</v>
      </c>
      <c r="B2967" s="76" t="s">
        <v>10945</v>
      </c>
    </row>
    <row r="2968" spans="1:2" ht="15">
      <c r="A2968" s="77" t="s">
        <v>6718</v>
      </c>
      <c r="B2968" s="76" t="s">
        <v>10945</v>
      </c>
    </row>
    <row r="2969" spans="1:2" ht="15">
      <c r="A2969" s="77" t="s">
        <v>6719</v>
      </c>
      <c r="B2969" s="76" t="s">
        <v>10945</v>
      </c>
    </row>
    <row r="2970" spans="1:2" ht="15">
      <c r="A2970" s="77" t="s">
        <v>6720</v>
      </c>
      <c r="B2970" s="76" t="s">
        <v>10945</v>
      </c>
    </row>
    <row r="2971" spans="1:2" ht="15">
      <c r="A2971" s="77" t="s">
        <v>6721</v>
      </c>
      <c r="B2971" s="76" t="s">
        <v>10945</v>
      </c>
    </row>
    <row r="2972" spans="1:2" ht="15">
      <c r="A2972" s="77" t="s">
        <v>6722</v>
      </c>
      <c r="B2972" s="76" t="s">
        <v>10945</v>
      </c>
    </row>
    <row r="2973" spans="1:2" ht="15">
      <c r="A2973" s="77" t="s">
        <v>6723</v>
      </c>
      <c r="B2973" s="76" t="s">
        <v>10945</v>
      </c>
    </row>
    <row r="2974" spans="1:2" ht="15">
      <c r="A2974" s="77" t="s">
        <v>6724</v>
      </c>
      <c r="B2974" s="76" t="s">
        <v>10945</v>
      </c>
    </row>
    <row r="2975" spans="1:2" ht="15">
      <c r="A2975" s="77" t="s">
        <v>6725</v>
      </c>
      <c r="B2975" s="76" t="s">
        <v>10945</v>
      </c>
    </row>
    <row r="2976" spans="1:2" ht="15">
      <c r="A2976" s="77" t="s">
        <v>6726</v>
      </c>
      <c r="B2976" s="76" t="s">
        <v>10945</v>
      </c>
    </row>
    <row r="2977" spans="1:2" ht="15">
      <c r="A2977" s="77" t="s">
        <v>6727</v>
      </c>
      <c r="B2977" s="76" t="s">
        <v>10945</v>
      </c>
    </row>
    <row r="2978" spans="1:2" ht="15">
      <c r="A2978" s="77" t="s">
        <v>6728</v>
      </c>
      <c r="B2978" s="76" t="s">
        <v>10945</v>
      </c>
    </row>
    <row r="2979" spans="1:2" ht="15">
      <c r="A2979" s="77" t="s">
        <v>6729</v>
      </c>
      <c r="B2979" s="76" t="s">
        <v>10945</v>
      </c>
    </row>
    <row r="2980" spans="1:2" ht="15">
      <c r="A2980" s="77" t="s">
        <v>6730</v>
      </c>
      <c r="B2980" s="76" t="s">
        <v>10945</v>
      </c>
    </row>
    <row r="2981" spans="1:2" ht="15">
      <c r="A2981" s="77" t="s">
        <v>6731</v>
      </c>
      <c r="B2981" s="76" t="s">
        <v>10945</v>
      </c>
    </row>
    <row r="2982" spans="1:2" ht="15">
      <c r="A2982" s="77" t="s">
        <v>3725</v>
      </c>
      <c r="B2982" s="76" t="s">
        <v>10945</v>
      </c>
    </row>
    <row r="2983" spans="1:2" ht="15">
      <c r="A2983" s="77" t="s">
        <v>6732</v>
      </c>
      <c r="B2983" s="76" t="s">
        <v>10945</v>
      </c>
    </row>
    <row r="2984" spans="1:2" ht="15">
      <c r="A2984" s="77" t="s">
        <v>6733</v>
      </c>
      <c r="B2984" s="76" t="s">
        <v>10945</v>
      </c>
    </row>
    <row r="2985" spans="1:2" ht="15">
      <c r="A2985" s="77" t="s">
        <v>6734</v>
      </c>
      <c r="B2985" s="76" t="s">
        <v>10945</v>
      </c>
    </row>
    <row r="2986" spans="1:2" ht="15">
      <c r="A2986" s="77" t="s">
        <v>6735</v>
      </c>
      <c r="B2986" s="76" t="s">
        <v>10945</v>
      </c>
    </row>
    <row r="2987" spans="1:2" ht="15">
      <c r="A2987" s="77" t="s">
        <v>6736</v>
      </c>
      <c r="B2987" s="76" t="s">
        <v>10945</v>
      </c>
    </row>
    <row r="2988" spans="1:2" ht="15">
      <c r="A2988" s="77" t="s">
        <v>6737</v>
      </c>
      <c r="B2988" s="76" t="s">
        <v>10945</v>
      </c>
    </row>
    <row r="2989" spans="1:2" ht="15">
      <c r="A2989" s="77" t="s">
        <v>6738</v>
      </c>
      <c r="B2989" s="76" t="s">
        <v>10945</v>
      </c>
    </row>
    <row r="2990" spans="1:2" ht="15">
      <c r="A2990" s="77" t="s">
        <v>6739</v>
      </c>
      <c r="B2990" s="76" t="s">
        <v>10945</v>
      </c>
    </row>
    <row r="2991" spans="1:2" ht="15">
      <c r="A2991" s="77" t="s">
        <v>6740</v>
      </c>
      <c r="B2991" s="76" t="s">
        <v>10945</v>
      </c>
    </row>
    <row r="2992" spans="1:2" ht="15">
      <c r="A2992" s="77" t="s">
        <v>6741</v>
      </c>
      <c r="B2992" s="76" t="s">
        <v>10945</v>
      </c>
    </row>
    <row r="2993" spans="1:2" ht="15">
      <c r="A2993" s="77" t="s">
        <v>6742</v>
      </c>
      <c r="B2993" s="76" t="s">
        <v>10945</v>
      </c>
    </row>
    <row r="2994" spans="1:2" ht="15">
      <c r="A2994" s="77" t="s">
        <v>6743</v>
      </c>
      <c r="B2994" s="76" t="s">
        <v>10945</v>
      </c>
    </row>
    <row r="2995" spans="1:2" ht="15">
      <c r="A2995" s="77" t="s">
        <v>6744</v>
      </c>
      <c r="B2995" s="76" t="s">
        <v>10945</v>
      </c>
    </row>
    <row r="2996" spans="1:2" ht="15">
      <c r="A2996" s="77" t="s">
        <v>6745</v>
      </c>
      <c r="B2996" s="76" t="s">
        <v>10945</v>
      </c>
    </row>
    <row r="2997" spans="1:2" ht="15">
      <c r="A2997" s="77" t="s">
        <v>6746</v>
      </c>
      <c r="B2997" s="76" t="s">
        <v>10945</v>
      </c>
    </row>
    <row r="2998" spans="1:2" ht="15">
      <c r="A2998" s="77" t="s">
        <v>6747</v>
      </c>
      <c r="B2998" s="76" t="s">
        <v>10945</v>
      </c>
    </row>
    <row r="2999" spans="1:2" ht="15">
      <c r="A2999" s="77" t="s">
        <v>6748</v>
      </c>
      <c r="B2999" s="76" t="s">
        <v>10945</v>
      </c>
    </row>
    <row r="3000" spans="1:2" ht="15">
      <c r="A3000" s="77" t="s">
        <v>6749</v>
      </c>
      <c r="B3000" s="76" t="s">
        <v>10945</v>
      </c>
    </row>
    <row r="3001" spans="1:2" ht="15">
      <c r="A3001" s="77" t="s">
        <v>6750</v>
      </c>
      <c r="B3001" s="76" t="s">
        <v>10945</v>
      </c>
    </row>
    <row r="3002" spans="1:2" ht="15">
      <c r="A3002" s="77" t="s">
        <v>6751</v>
      </c>
      <c r="B3002" s="76" t="s">
        <v>10945</v>
      </c>
    </row>
    <row r="3003" spans="1:2" ht="15">
      <c r="A3003" s="77" t="s">
        <v>6752</v>
      </c>
      <c r="B3003" s="76" t="s">
        <v>10945</v>
      </c>
    </row>
    <row r="3004" spans="1:2" ht="15">
      <c r="A3004" s="77" t="s">
        <v>6753</v>
      </c>
      <c r="B3004" s="76" t="s">
        <v>10945</v>
      </c>
    </row>
    <row r="3005" spans="1:2" ht="15">
      <c r="A3005" s="77" t="s">
        <v>6754</v>
      </c>
      <c r="B3005" s="76" t="s">
        <v>10945</v>
      </c>
    </row>
    <row r="3006" spans="1:2" ht="15">
      <c r="A3006" s="77" t="s">
        <v>6755</v>
      </c>
      <c r="B3006" s="76" t="s">
        <v>10945</v>
      </c>
    </row>
    <row r="3007" spans="1:2" ht="15">
      <c r="A3007" s="77" t="s">
        <v>3044</v>
      </c>
      <c r="B3007" s="76" t="s">
        <v>10945</v>
      </c>
    </row>
    <row r="3008" spans="1:2" ht="15">
      <c r="A3008" s="77" t="s">
        <v>6756</v>
      </c>
      <c r="B3008" s="76" t="s">
        <v>10945</v>
      </c>
    </row>
    <row r="3009" spans="1:2" ht="15">
      <c r="A3009" s="77" t="s">
        <v>6757</v>
      </c>
      <c r="B3009" s="76" t="s">
        <v>10945</v>
      </c>
    </row>
    <row r="3010" spans="1:2" ht="15">
      <c r="A3010" s="77" t="s">
        <v>6758</v>
      </c>
      <c r="B3010" s="76" t="s">
        <v>10945</v>
      </c>
    </row>
    <row r="3011" spans="1:2" ht="15">
      <c r="A3011" s="77" t="s">
        <v>6759</v>
      </c>
      <c r="B3011" s="76" t="s">
        <v>10945</v>
      </c>
    </row>
    <row r="3012" spans="1:2" ht="15">
      <c r="A3012" s="77" t="s">
        <v>6760</v>
      </c>
      <c r="B3012" s="76" t="s">
        <v>10945</v>
      </c>
    </row>
    <row r="3013" spans="1:2" ht="15">
      <c r="A3013" s="77" t="s">
        <v>6761</v>
      </c>
      <c r="B3013" s="76" t="s">
        <v>10945</v>
      </c>
    </row>
    <row r="3014" spans="1:2" ht="15">
      <c r="A3014" s="77" t="s">
        <v>6762</v>
      </c>
      <c r="B3014" s="76" t="s">
        <v>10945</v>
      </c>
    </row>
    <row r="3015" spans="1:2" ht="15">
      <c r="A3015" s="77" t="s">
        <v>6763</v>
      </c>
      <c r="B3015" s="76" t="s">
        <v>10945</v>
      </c>
    </row>
    <row r="3016" spans="1:2" ht="15">
      <c r="A3016" s="77" t="s">
        <v>6764</v>
      </c>
      <c r="B3016" s="76" t="s">
        <v>10945</v>
      </c>
    </row>
    <row r="3017" spans="1:2" ht="15">
      <c r="A3017" s="77" t="s">
        <v>6765</v>
      </c>
      <c r="B3017" s="76" t="s">
        <v>10945</v>
      </c>
    </row>
    <row r="3018" spans="1:2" ht="15">
      <c r="A3018" s="77" t="s">
        <v>6766</v>
      </c>
      <c r="B3018" s="76" t="s">
        <v>10945</v>
      </c>
    </row>
    <row r="3019" spans="1:2" ht="15">
      <c r="A3019" s="77" t="s">
        <v>6767</v>
      </c>
      <c r="B3019" s="76" t="s">
        <v>10945</v>
      </c>
    </row>
    <row r="3020" spans="1:2" ht="15">
      <c r="A3020" s="77" t="s">
        <v>6768</v>
      </c>
      <c r="B3020" s="76" t="s">
        <v>10945</v>
      </c>
    </row>
    <row r="3021" spans="1:2" ht="15">
      <c r="A3021" s="77" t="s">
        <v>6769</v>
      </c>
      <c r="B3021" s="76" t="s">
        <v>10945</v>
      </c>
    </row>
    <row r="3022" spans="1:2" ht="15">
      <c r="A3022" s="77" t="s">
        <v>6770</v>
      </c>
      <c r="B3022" s="76" t="s">
        <v>10945</v>
      </c>
    </row>
    <row r="3023" spans="1:2" ht="15">
      <c r="A3023" s="77" t="s">
        <v>6771</v>
      </c>
      <c r="B3023" s="76" t="s">
        <v>10945</v>
      </c>
    </row>
    <row r="3024" spans="1:2" ht="15">
      <c r="A3024" s="77" t="s">
        <v>6772</v>
      </c>
      <c r="B3024" s="76" t="s">
        <v>10945</v>
      </c>
    </row>
    <row r="3025" spans="1:2" ht="15">
      <c r="A3025" s="77" t="s">
        <v>6773</v>
      </c>
      <c r="B3025" s="76" t="s">
        <v>10945</v>
      </c>
    </row>
    <row r="3026" spans="1:2" ht="15">
      <c r="A3026" s="77" t="s">
        <v>6774</v>
      </c>
      <c r="B3026" s="76" t="s">
        <v>10945</v>
      </c>
    </row>
    <row r="3027" spans="1:2" ht="15">
      <c r="A3027" s="77" t="s">
        <v>6775</v>
      </c>
      <c r="B3027" s="76" t="s">
        <v>10945</v>
      </c>
    </row>
    <row r="3028" spans="1:2" ht="15">
      <c r="A3028" s="77" t="s">
        <v>6776</v>
      </c>
      <c r="B3028" s="76" t="s">
        <v>10945</v>
      </c>
    </row>
    <row r="3029" spans="1:2" ht="15">
      <c r="A3029" s="77" t="s">
        <v>6777</v>
      </c>
      <c r="B3029" s="76" t="s">
        <v>10945</v>
      </c>
    </row>
    <row r="3030" spans="1:2" ht="15">
      <c r="A3030" s="77" t="s">
        <v>6778</v>
      </c>
      <c r="B3030" s="76" t="s">
        <v>10945</v>
      </c>
    </row>
    <row r="3031" spans="1:2" ht="15">
      <c r="A3031" s="77" t="s">
        <v>6779</v>
      </c>
      <c r="B3031" s="76" t="s">
        <v>10945</v>
      </c>
    </row>
    <row r="3032" spans="1:2" ht="15">
      <c r="A3032" s="77" t="s">
        <v>6780</v>
      </c>
      <c r="B3032" s="76" t="s">
        <v>10945</v>
      </c>
    </row>
    <row r="3033" spans="1:2" ht="15">
      <c r="A3033" s="77" t="s">
        <v>6781</v>
      </c>
      <c r="B3033" s="76" t="s">
        <v>10945</v>
      </c>
    </row>
    <row r="3034" spans="1:2" ht="15">
      <c r="A3034" s="77" t="s">
        <v>6782</v>
      </c>
      <c r="B3034" s="76" t="s">
        <v>10945</v>
      </c>
    </row>
    <row r="3035" spans="1:2" ht="15">
      <c r="A3035" s="77" t="s">
        <v>6783</v>
      </c>
      <c r="B3035" s="76" t="s">
        <v>10945</v>
      </c>
    </row>
    <row r="3036" spans="1:2" ht="15">
      <c r="A3036" s="77" t="s">
        <v>6784</v>
      </c>
      <c r="B3036" s="76" t="s">
        <v>10945</v>
      </c>
    </row>
    <row r="3037" spans="1:2" ht="15">
      <c r="A3037" s="77" t="s">
        <v>6785</v>
      </c>
      <c r="B3037" s="76" t="s">
        <v>10945</v>
      </c>
    </row>
    <row r="3038" spans="1:2" ht="15">
      <c r="A3038" s="77" t="s">
        <v>6786</v>
      </c>
      <c r="B3038" s="76" t="s">
        <v>10945</v>
      </c>
    </row>
    <row r="3039" spans="1:2" ht="15">
      <c r="A3039" s="77" t="s">
        <v>6787</v>
      </c>
      <c r="B3039" s="76" t="s">
        <v>10945</v>
      </c>
    </row>
    <row r="3040" spans="1:2" ht="15">
      <c r="A3040" s="77" t="s">
        <v>6788</v>
      </c>
      <c r="B3040" s="76" t="s">
        <v>10945</v>
      </c>
    </row>
    <row r="3041" spans="1:2" ht="15">
      <c r="A3041" s="77" t="s">
        <v>6789</v>
      </c>
      <c r="B3041" s="76" t="s">
        <v>10945</v>
      </c>
    </row>
    <row r="3042" spans="1:2" ht="15">
      <c r="A3042" s="77" t="s">
        <v>6790</v>
      </c>
      <c r="B3042" s="76" t="s">
        <v>10945</v>
      </c>
    </row>
    <row r="3043" spans="1:2" ht="15">
      <c r="A3043" s="77" t="s">
        <v>6791</v>
      </c>
      <c r="B3043" s="76" t="s">
        <v>10945</v>
      </c>
    </row>
    <row r="3044" spans="1:2" ht="15">
      <c r="A3044" s="77" t="s">
        <v>6792</v>
      </c>
      <c r="B3044" s="76" t="s">
        <v>10945</v>
      </c>
    </row>
    <row r="3045" spans="1:2" ht="15">
      <c r="A3045" s="77" t="s">
        <v>6793</v>
      </c>
      <c r="B3045" s="76" t="s">
        <v>10945</v>
      </c>
    </row>
    <row r="3046" spans="1:2" ht="15">
      <c r="A3046" s="77" t="s">
        <v>3435</v>
      </c>
      <c r="B3046" s="76" t="s">
        <v>10945</v>
      </c>
    </row>
    <row r="3047" spans="1:2" ht="15">
      <c r="A3047" s="77" t="s">
        <v>6794</v>
      </c>
      <c r="B3047" s="76" t="s">
        <v>10945</v>
      </c>
    </row>
    <row r="3048" spans="1:2" ht="15">
      <c r="A3048" s="77" t="s">
        <v>6795</v>
      </c>
      <c r="B3048" s="76" t="s">
        <v>10945</v>
      </c>
    </row>
    <row r="3049" spans="1:2" ht="15">
      <c r="A3049" s="77" t="s">
        <v>6796</v>
      </c>
      <c r="B3049" s="76" t="s">
        <v>10945</v>
      </c>
    </row>
    <row r="3050" spans="1:2" ht="15">
      <c r="A3050" s="77" t="s">
        <v>6797</v>
      </c>
      <c r="B3050" s="76" t="s">
        <v>10945</v>
      </c>
    </row>
    <row r="3051" spans="1:2" ht="15">
      <c r="A3051" s="77" t="s">
        <v>6798</v>
      </c>
      <c r="B3051" s="76" t="s">
        <v>10945</v>
      </c>
    </row>
    <row r="3052" spans="1:2" ht="15">
      <c r="A3052" s="77" t="s">
        <v>6799</v>
      </c>
      <c r="B3052" s="76" t="s">
        <v>10945</v>
      </c>
    </row>
    <row r="3053" spans="1:2" ht="15">
      <c r="A3053" s="77" t="s">
        <v>6800</v>
      </c>
      <c r="B3053" s="76" t="s">
        <v>10945</v>
      </c>
    </row>
    <row r="3054" spans="1:2" ht="15">
      <c r="A3054" s="77" t="s">
        <v>6801</v>
      </c>
      <c r="B3054" s="76" t="s">
        <v>10945</v>
      </c>
    </row>
    <row r="3055" spans="1:2" ht="15">
      <c r="A3055" s="77" t="s">
        <v>6802</v>
      </c>
      <c r="B3055" s="76" t="s">
        <v>10945</v>
      </c>
    </row>
    <row r="3056" spans="1:2" ht="15">
      <c r="A3056" s="77" t="s">
        <v>6803</v>
      </c>
      <c r="B3056" s="76" t="s">
        <v>10945</v>
      </c>
    </row>
    <row r="3057" spans="1:2" ht="15">
      <c r="A3057" s="77" t="s">
        <v>6804</v>
      </c>
      <c r="B3057" s="76" t="s">
        <v>10945</v>
      </c>
    </row>
    <row r="3058" spans="1:2" ht="15">
      <c r="A3058" s="77" t="s">
        <v>6805</v>
      </c>
      <c r="B3058" s="76" t="s">
        <v>10945</v>
      </c>
    </row>
    <row r="3059" spans="1:2" ht="15">
      <c r="A3059" s="77" t="s">
        <v>6806</v>
      </c>
      <c r="B3059" s="76" t="s">
        <v>10945</v>
      </c>
    </row>
    <row r="3060" spans="1:2" ht="15">
      <c r="A3060" s="77" t="s">
        <v>6807</v>
      </c>
      <c r="B3060" s="76" t="s">
        <v>10945</v>
      </c>
    </row>
    <row r="3061" spans="1:2" ht="15">
      <c r="A3061" s="77" t="s">
        <v>6808</v>
      </c>
      <c r="B3061" s="76" t="s">
        <v>10945</v>
      </c>
    </row>
    <row r="3062" spans="1:2" ht="15">
      <c r="A3062" s="77" t="s">
        <v>6809</v>
      </c>
      <c r="B3062" s="76" t="s">
        <v>10945</v>
      </c>
    </row>
    <row r="3063" spans="1:2" ht="15">
      <c r="A3063" s="77" t="s">
        <v>6810</v>
      </c>
      <c r="B3063" s="76" t="s">
        <v>10945</v>
      </c>
    </row>
    <row r="3064" spans="1:2" ht="15">
      <c r="A3064" s="77" t="s">
        <v>6811</v>
      </c>
      <c r="B3064" s="76" t="s">
        <v>10945</v>
      </c>
    </row>
    <row r="3065" spans="1:2" ht="15">
      <c r="A3065" s="77" t="s">
        <v>6812</v>
      </c>
      <c r="B3065" s="76" t="s">
        <v>10945</v>
      </c>
    </row>
    <row r="3066" spans="1:2" ht="15">
      <c r="A3066" s="77" t="s">
        <v>6813</v>
      </c>
      <c r="B3066" s="76" t="s">
        <v>10945</v>
      </c>
    </row>
    <row r="3067" spans="1:2" ht="15">
      <c r="A3067" s="77" t="s">
        <v>6814</v>
      </c>
      <c r="B3067" s="76" t="s">
        <v>10945</v>
      </c>
    </row>
    <row r="3068" spans="1:2" ht="15">
      <c r="A3068" s="77" t="s">
        <v>6815</v>
      </c>
      <c r="B3068" s="76" t="s">
        <v>10945</v>
      </c>
    </row>
    <row r="3069" spans="1:2" ht="15">
      <c r="A3069" s="77" t="s">
        <v>6816</v>
      </c>
      <c r="B3069" s="76" t="s">
        <v>10945</v>
      </c>
    </row>
    <row r="3070" spans="1:2" ht="15">
      <c r="A3070" s="77" t="s">
        <v>6817</v>
      </c>
      <c r="B3070" s="76" t="s">
        <v>10945</v>
      </c>
    </row>
    <row r="3071" spans="1:2" ht="15">
      <c r="A3071" s="77" t="s">
        <v>6818</v>
      </c>
      <c r="B3071" s="76" t="s">
        <v>10945</v>
      </c>
    </row>
    <row r="3072" spans="1:2" ht="15">
      <c r="A3072" s="77" t="s">
        <v>6819</v>
      </c>
      <c r="B3072" s="76" t="s">
        <v>10945</v>
      </c>
    </row>
    <row r="3073" spans="1:2" ht="15">
      <c r="A3073" s="77" t="s">
        <v>6820</v>
      </c>
      <c r="B3073" s="76" t="s">
        <v>10945</v>
      </c>
    </row>
    <row r="3074" spans="1:2" ht="15">
      <c r="A3074" s="77" t="s">
        <v>6821</v>
      </c>
      <c r="B3074" s="76" t="s">
        <v>10945</v>
      </c>
    </row>
    <row r="3075" spans="1:2" ht="15">
      <c r="A3075" s="77" t="s">
        <v>6822</v>
      </c>
      <c r="B3075" s="76" t="s">
        <v>10945</v>
      </c>
    </row>
    <row r="3076" spans="1:2" ht="15">
      <c r="A3076" s="77" t="s">
        <v>6823</v>
      </c>
      <c r="B3076" s="76" t="s">
        <v>10945</v>
      </c>
    </row>
    <row r="3077" spans="1:2" ht="15">
      <c r="A3077" s="77" t="s">
        <v>6824</v>
      </c>
      <c r="B3077" s="76" t="s">
        <v>10945</v>
      </c>
    </row>
    <row r="3078" spans="1:2" ht="15">
      <c r="A3078" s="77" t="s">
        <v>6825</v>
      </c>
      <c r="B3078" s="76" t="s">
        <v>10945</v>
      </c>
    </row>
    <row r="3079" spans="1:2" ht="15">
      <c r="A3079" s="77" t="s">
        <v>6826</v>
      </c>
      <c r="B3079" s="76" t="s">
        <v>10945</v>
      </c>
    </row>
    <row r="3080" spans="1:2" ht="15">
      <c r="A3080" s="77" t="s">
        <v>6827</v>
      </c>
      <c r="B3080" s="76" t="s">
        <v>10945</v>
      </c>
    </row>
    <row r="3081" spans="1:2" ht="15">
      <c r="A3081" s="77" t="s">
        <v>6828</v>
      </c>
      <c r="B3081" s="76" t="s">
        <v>10945</v>
      </c>
    </row>
    <row r="3082" spans="1:2" ht="15">
      <c r="A3082" s="77" t="s">
        <v>6829</v>
      </c>
      <c r="B3082" s="76" t="s">
        <v>10945</v>
      </c>
    </row>
    <row r="3083" spans="1:2" ht="15">
      <c r="A3083" s="77" t="s">
        <v>6830</v>
      </c>
      <c r="B3083" s="76" t="s">
        <v>10945</v>
      </c>
    </row>
    <row r="3084" spans="1:2" ht="15">
      <c r="A3084" s="77" t="s">
        <v>3722</v>
      </c>
      <c r="B3084" s="76" t="s">
        <v>10945</v>
      </c>
    </row>
    <row r="3085" spans="1:2" ht="15">
      <c r="A3085" s="77" t="s">
        <v>6831</v>
      </c>
      <c r="B3085" s="76" t="s">
        <v>10945</v>
      </c>
    </row>
    <row r="3086" spans="1:2" ht="15">
      <c r="A3086" s="77" t="s">
        <v>6832</v>
      </c>
      <c r="B3086" s="76" t="s">
        <v>10945</v>
      </c>
    </row>
    <row r="3087" spans="1:2" ht="15">
      <c r="A3087" s="77" t="s">
        <v>6833</v>
      </c>
      <c r="B3087" s="76" t="s">
        <v>10945</v>
      </c>
    </row>
    <row r="3088" spans="1:2" ht="15">
      <c r="A3088" s="77" t="s">
        <v>6834</v>
      </c>
      <c r="B3088" s="76" t="s">
        <v>10945</v>
      </c>
    </row>
    <row r="3089" spans="1:2" ht="15">
      <c r="A3089" s="77" t="s">
        <v>6835</v>
      </c>
      <c r="B3089" s="76" t="s">
        <v>10945</v>
      </c>
    </row>
    <row r="3090" spans="1:2" ht="15">
      <c r="A3090" s="77" t="s">
        <v>2622</v>
      </c>
      <c r="B3090" s="76" t="s">
        <v>10945</v>
      </c>
    </row>
    <row r="3091" spans="1:2" ht="15">
      <c r="A3091" s="77" t="s">
        <v>6836</v>
      </c>
      <c r="B3091" s="76" t="s">
        <v>10945</v>
      </c>
    </row>
    <row r="3092" spans="1:2" ht="15">
      <c r="A3092" s="77" t="s">
        <v>6837</v>
      </c>
      <c r="B3092" s="76" t="s">
        <v>10945</v>
      </c>
    </row>
    <row r="3093" spans="1:2" ht="15">
      <c r="A3093" s="77" t="s">
        <v>6838</v>
      </c>
      <c r="B3093" s="76" t="s">
        <v>10945</v>
      </c>
    </row>
    <row r="3094" spans="1:2" ht="15">
      <c r="A3094" s="77" t="s">
        <v>6839</v>
      </c>
      <c r="B3094" s="76" t="s">
        <v>10945</v>
      </c>
    </row>
    <row r="3095" spans="1:2" ht="15">
      <c r="A3095" s="77" t="s">
        <v>6840</v>
      </c>
      <c r="B3095" s="76" t="s">
        <v>10945</v>
      </c>
    </row>
    <row r="3096" spans="1:2" ht="15">
      <c r="A3096" s="77" t="s">
        <v>6841</v>
      </c>
      <c r="B3096" s="76" t="s">
        <v>10945</v>
      </c>
    </row>
    <row r="3097" spans="1:2" ht="15">
      <c r="A3097" s="77" t="s">
        <v>6842</v>
      </c>
      <c r="B3097" s="76" t="s">
        <v>10945</v>
      </c>
    </row>
    <row r="3098" spans="1:2" ht="15">
      <c r="A3098" s="77" t="s">
        <v>6843</v>
      </c>
      <c r="B3098" s="76" t="s">
        <v>10945</v>
      </c>
    </row>
    <row r="3099" spans="1:2" ht="15">
      <c r="A3099" s="77" t="s">
        <v>6844</v>
      </c>
      <c r="B3099" s="76" t="s">
        <v>10945</v>
      </c>
    </row>
    <row r="3100" spans="1:2" ht="15">
      <c r="A3100" s="77" t="s">
        <v>6845</v>
      </c>
      <c r="B3100" s="76" t="s">
        <v>10945</v>
      </c>
    </row>
    <row r="3101" spans="1:2" ht="15">
      <c r="A3101" s="77" t="s">
        <v>6846</v>
      </c>
      <c r="B3101" s="76" t="s">
        <v>10945</v>
      </c>
    </row>
    <row r="3102" spans="1:2" ht="15">
      <c r="A3102" s="77" t="s">
        <v>6847</v>
      </c>
      <c r="B3102" s="76" t="s">
        <v>10945</v>
      </c>
    </row>
    <row r="3103" spans="1:2" ht="15">
      <c r="A3103" s="77" t="s">
        <v>6848</v>
      </c>
      <c r="B3103" s="76" t="s">
        <v>10945</v>
      </c>
    </row>
    <row r="3104" spans="1:2" ht="15">
      <c r="A3104" s="77" t="s">
        <v>6849</v>
      </c>
      <c r="B3104" s="76" t="s">
        <v>10945</v>
      </c>
    </row>
    <row r="3105" spans="1:2" ht="15">
      <c r="A3105" s="77" t="s">
        <v>6850</v>
      </c>
      <c r="B3105" s="76" t="s">
        <v>10945</v>
      </c>
    </row>
    <row r="3106" spans="1:2" ht="15">
      <c r="A3106" s="77" t="s">
        <v>6851</v>
      </c>
      <c r="B3106" s="76" t="s">
        <v>10945</v>
      </c>
    </row>
    <row r="3107" spans="1:2" ht="15">
      <c r="A3107" s="77" t="s">
        <v>6852</v>
      </c>
      <c r="B3107" s="76" t="s">
        <v>10945</v>
      </c>
    </row>
    <row r="3108" spans="1:2" ht="15">
      <c r="A3108" s="77" t="s">
        <v>6853</v>
      </c>
      <c r="B3108" s="76" t="s">
        <v>10945</v>
      </c>
    </row>
    <row r="3109" spans="1:2" ht="15">
      <c r="A3109" s="77" t="s">
        <v>6854</v>
      </c>
      <c r="B3109" s="76" t="s">
        <v>10945</v>
      </c>
    </row>
    <row r="3110" spans="1:2" ht="15">
      <c r="A3110" s="77" t="s">
        <v>6855</v>
      </c>
      <c r="B3110" s="76" t="s">
        <v>10945</v>
      </c>
    </row>
    <row r="3111" spans="1:2" ht="15">
      <c r="A3111" s="77" t="s">
        <v>6856</v>
      </c>
      <c r="B3111" s="76" t="s">
        <v>10945</v>
      </c>
    </row>
    <row r="3112" spans="1:2" ht="15">
      <c r="A3112" s="77" t="s">
        <v>6857</v>
      </c>
      <c r="B3112" s="76" t="s">
        <v>10945</v>
      </c>
    </row>
    <row r="3113" spans="1:2" ht="15">
      <c r="A3113" s="77" t="s">
        <v>6858</v>
      </c>
      <c r="B3113" s="76" t="s">
        <v>10945</v>
      </c>
    </row>
    <row r="3114" spans="1:2" ht="15">
      <c r="A3114" s="77" t="s">
        <v>6859</v>
      </c>
      <c r="B3114" s="76" t="s">
        <v>10945</v>
      </c>
    </row>
    <row r="3115" spans="1:2" ht="15">
      <c r="A3115" s="77" t="s">
        <v>6860</v>
      </c>
      <c r="B3115" s="76" t="s">
        <v>10945</v>
      </c>
    </row>
    <row r="3116" spans="1:2" ht="15">
      <c r="A3116" s="77" t="s">
        <v>6861</v>
      </c>
      <c r="B3116" s="76" t="s">
        <v>10945</v>
      </c>
    </row>
    <row r="3117" spans="1:2" ht="15">
      <c r="A3117" s="77" t="s">
        <v>6862</v>
      </c>
      <c r="B3117" s="76" t="s">
        <v>10945</v>
      </c>
    </row>
    <row r="3118" spans="1:2" ht="15">
      <c r="A3118" s="77" t="s">
        <v>6863</v>
      </c>
      <c r="B3118" s="76" t="s">
        <v>10945</v>
      </c>
    </row>
    <row r="3119" spans="1:2" ht="15">
      <c r="A3119" s="77" t="s">
        <v>6864</v>
      </c>
      <c r="B3119" s="76" t="s">
        <v>10945</v>
      </c>
    </row>
    <row r="3120" spans="1:2" ht="15">
      <c r="A3120" s="77" t="s">
        <v>6865</v>
      </c>
      <c r="B3120" s="76" t="s">
        <v>10945</v>
      </c>
    </row>
    <row r="3121" spans="1:2" ht="15">
      <c r="A3121" s="77" t="s">
        <v>6866</v>
      </c>
      <c r="B3121" s="76" t="s">
        <v>10945</v>
      </c>
    </row>
    <row r="3122" spans="1:2" ht="15">
      <c r="A3122" s="77" t="s">
        <v>6867</v>
      </c>
      <c r="B3122" s="76" t="s">
        <v>10945</v>
      </c>
    </row>
    <row r="3123" spans="1:2" ht="15">
      <c r="A3123" s="77" t="s">
        <v>6868</v>
      </c>
      <c r="B3123" s="76" t="s">
        <v>10945</v>
      </c>
    </row>
    <row r="3124" spans="1:2" ht="15">
      <c r="A3124" s="77" t="s">
        <v>6869</v>
      </c>
      <c r="B3124" s="76" t="s">
        <v>10945</v>
      </c>
    </row>
    <row r="3125" spans="1:2" ht="15">
      <c r="A3125" s="77" t="s">
        <v>6870</v>
      </c>
      <c r="B3125" s="76" t="s">
        <v>10945</v>
      </c>
    </row>
    <row r="3126" spans="1:2" ht="15">
      <c r="A3126" s="77" t="s">
        <v>6871</v>
      </c>
      <c r="B3126" s="76" t="s">
        <v>10945</v>
      </c>
    </row>
    <row r="3127" spans="1:2" ht="15">
      <c r="A3127" s="77" t="s">
        <v>6872</v>
      </c>
      <c r="B3127" s="76" t="s">
        <v>10945</v>
      </c>
    </row>
    <row r="3128" spans="1:2" ht="15">
      <c r="A3128" s="77" t="s">
        <v>6873</v>
      </c>
      <c r="B3128" s="76" t="s">
        <v>10945</v>
      </c>
    </row>
    <row r="3129" spans="1:2" ht="15">
      <c r="A3129" s="77" t="s">
        <v>6874</v>
      </c>
      <c r="B3129" s="76" t="s">
        <v>10945</v>
      </c>
    </row>
    <row r="3130" spans="1:2" ht="15">
      <c r="A3130" s="77" t="s">
        <v>6875</v>
      </c>
      <c r="B3130" s="76" t="s">
        <v>10945</v>
      </c>
    </row>
    <row r="3131" spans="1:2" ht="15">
      <c r="A3131" s="77" t="s">
        <v>6876</v>
      </c>
      <c r="B3131" s="76" t="s">
        <v>10945</v>
      </c>
    </row>
    <row r="3132" spans="1:2" ht="15">
      <c r="A3132" s="77" t="s">
        <v>6877</v>
      </c>
      <c r="B3132" s="76" t="s">
        <v>10945</v>
      </c>
    </row>
    <row r="3133" spans="1:2" ht="15">
      <c r="A3133" s="77" t="s">
        <v>6878</v>
      </c>
      <c r="B3133" s="76" t="s">
        <v>10945</v>
      </c>
    </row>
    <row r="3134" spans="1:2" ht="15">
      <c r="A3134" s="77" t="s">
        <v>6879</v>
      </c>
      <c r="B3134" s="76" t="s">
        <v>10945</v>
      </c>
    </row>
    <row r="3135" spans="1:2" ht="15">
      <c r="A3135" s="77" t="s">
        <v>6880</v>
      </c>
      <c r="B3135" s="76" t="s">
        <v>10945</v>
      </c>
    </row>
    <row r="3136" spans="1:2" ht="15">
      <c r="A3136" s="77" t="s">
        <v>6881</v>
      </c>
      <c r="B3136" s="76" t="s">
        <v>10945</v>
      </c>
    </row>
    <row r="3137" spans="1:2" ht="15">
      <c r="A3137" s="77" t="s">
        <v>6882</v>
      </c>
      <c r="B3137" s="76" t="s">
        <v>10945</v>
      </c>
    </row>
    <row r="3138" spans="1:2" ht="15">
      <c r="A3138" s="77" t="s">
        <v>6883</v>
      </c>
      <c r="B3138" s="76" t="s">
        <v>10945</v>
      </c>
    </row>
    <row r="3139" spans="1:2" ht="15">
      <c r="A3139" s="77" t="s">
        <v>6884</v>
      </c>
      <c r="B3139" s="76" t="s">
        <v>10945</v>
      </c>
    </row>
    <row r="3140" spans="1:2" ht="15">
      <c r="A3140" s="77" t="s">
        <v>6885</v>
      </c>
      <c r="B3140" s="76" t="s">
        <v>10945</v>
      </c>
    </row>
    <row r="3141" spans="1:2" ht="15">
      <c r="A3141" s="77" t="s">
        <v>6886</v>
      </c>
      <c r="B3141" s="76" t="s">
        <v>10945</v>
      </c>
    </row>
    <row r="3142" spans="1:2" ht="15">
      <c r="A3142" s="77" t="s">
        <v>6887</v>
      </c>
      <c r="B3142" s="76" t="s">
        <v>10945</v>
      </c>
    </row>
    <row r="3143" spans="1:2" ht="15">
      <c r="A3143" s="77" t="s">
        <v>6888</v>
      </c>
      <c r="B3143" s="76" t="s">
        <v>10945</v>
      </c>
    </row>
    <row r="3144" spans="1:2" ht="15">
      <c r="A3144" s="77" t="s">
        <v>6889</v>
      </c>
      <c r="B3144" s="76" t="s">
        <v>10945</v>
      </c>
    </row>
    <row r="3145" spans="1:2" ht="15">
      <c r="A3145" s="77" t="s">
        <v>6890</v>
      </c>
      <c r="B3145" s="76" t="s">
        <v>10945</v>
      </c>
    </row>
    <row r="3146" spans="1:2" ht="15">
      <c r="A3146" s="77" t="s">
        <v>6891</v>
      </c>
      <c r="B3146" s="76" t="s">
        <v>10945</v>
      </c>
    </row>
    <row r="3147" spans="1:2" ht="15">
      <c r="A3147" s="77" t="s">
        <v>6892</v>
      </c>
      <c r="B3147" s="76" t="s">
        <v>10945</v>
      </c>
    </row>
    <row r="3148" spans="1:2" ht="15">
      <c r="A3148" s="77" t="s">
        <v>6893</v>
      </c>
      <c r="B3148" s="76" t="s">
        <v>10945</v>
      </c>
    </row>
    <row r="3149" spans="1:2" ht="15">
      <c r="A3149" s="77" t="s">
        <v>6894</v>
      </c>
      <c r="B3149" s="76" t="s">
        <v>10945</v>
      </c>
    </row>
    <row r="3150" spans="1:2" ht="15">
      <c r="A3150" s="77" t="s">
        <v>6895</v>
      </c>
      <c r="B3150" s="76" t="s">
        <v>10945</v>
      </c>
    </row>
    <row r="3151" spans="1:2" ht="15">
      <c r="A3151" s="77" t="s">
        <v>6896</v>
      </c>
      <c r="B3151" s="76" t="s">
        <v>10945</v>
      </c>
    </row>
    <row r="3152" spans="1:2" ht="15">
      <c r="A3152" s="77" t="s">
        <v>6897</v>
      </c>
      <c r="B3152" s="76" t="s">
        <v>10945</v>
      </c>
    </row>
    <row r="3153" spans="1:2" ht="15">
      <c r="A3153" s="77" t="s">
        <v>6898</v>
      </c>
      <c r="B3153" s="76" t="s">
        <v>10945</v>
      </c>
    </row>
    <row r="3154" spans="1:2" ht="15">
      <c r="A3154" s="77" t="s">
        <v>3526</v>
      </c>
      <c r="B3154" s="76" t="s">
        <v>10945</v>
      </c>
    </row>
    <row r="3155" spans="1:2" ht="15">
      <c r="A3155" s="77" t="s">
        <v>6899</v>
      </c>
      <c r="B3155" s="76" t="s">
        <v>10945</v>
      </c>
    </row>
    <row r="3156" spans="1:2" ht="15">
      <c r="A3156" s="77" t="s">
        <v>6900</v>
      </c>
      <c r="B3156" s="76" t="s">
        <v>10945</v>
      </c>
    </row>
    <row r="3157" spans="1:2" ht="15">
      <c r="A3157" s="77" t="s">
        <v>6901</v>
      </c>
      <c r="B3157" s="76" t="s">
        <v>10945</v>
      </c>
    </row>
    <row r="3158" spans="1:2" ht="15">
      <c r="A3158" s="77" t="s">
        <v>6902</v>
      </c>
      <c r="B3158" s="76" t="s">
        <v>10945</v>
      </c>
    </row>
    <row r="3159" spans="1:2" ht="15">
      <c r="A3159" s="77" t="s">
        <v>6903</v>
      </c>
      <c r="B3159" s="76" t="s">
        <v>10945</v>
      </c>
    </row>
    <row r="3160" spans="1:2" ht="15">
      <c r="A3160" s="77" t="s">
        <v>6904</v>
      </c>
      <c r="B3160" s="76" t="s">
        <v>10945</v>
      </c>
    </row>
    <row r="3161" spans="1:2" ht="15">
      <c r="A3161" s="77" t="s">
        <v>6905</v>
      </c>
      <c r="B3161" s="76" t="s">
        <v>10945</v>
      </c>
    </row>
    <row r="3162" spans="1:2" ht="15">
      <c r="A3162" s="77" t="s">
        <v>6906</v>
      </c>
      <c r="B3162" s="76" t="s">
        <v>10945</v>
      </c>
    </row>
    <row r="3163" spans="1:2" ht="15">
      <c r="A3163" s="77" t="s">
        <v>6907</v>
      </c>
      <c r="B3163" s="76" t="s">
        <v>10945</v>
      </c>
    </row>
    <row r="3164" spans="1:2" ht="15">
      <c r="A3164" s="77" t="s">
        <v>2944</v>
      </c>
      <c r="B3164" s="76" t="s">
        <v>10945</v>
      </c>
    </row>
    <row r="3165" spans="1:2" ht="15">
      <c r="A3165" s="77" t="s">
        <v>6908</v>
      </c>
      <c r="B3165" s="76" t="s">
        <v>10945</v>
      </c>
    </row>
    <row r="3166" spans="1:2" ht="15">
      <c r="A3166" s="77" t="s">
        <v>6909</v>
      </c>
      <c r="B3166" s="76" t="s">
        <v>10945</v>
      </c>
    </row>
    <row r="3167" spans="1:2" ht="15">
      <c r="A3167" s="77" t="s">
        <v>6910</v>
      </c>
      <c r="B3167" s="76" t="s">
        <v>10945</v>
      </c>
    </row>
    <row r="3168" spans="1:2" ht="15">
      <c r="A3168" s="77" t="s">
        <v>2889</v>
      </c>
      <c r="B3168" s="76" t="s">
        <v>10945</v>
      </c>
    </row>
    <row r="3169" spans="1:2" ht="15">
      <c r="A3169" s="77" t="s">
        <v>6911</v>
      </c>
      <c r="B3169" s="76" t="s">
        <v>10945</v>
      </c>
    </row>
    <row r="3170" spans="1:2" ht="15">
      <c r="A3170" s="77" t="s">
        <v>6912</v>
      </c>
      <c r="B3170" s="76" t="s">
        <v>10945</v>
      </c>
    </row>
    <row r="3171" spans="1:2" ht="15">
      <c r="A3171" s="77" t="s">
        <v>6913</v>
      </c>
      <c r="B3171" s="76" t="s">
        <v>10945</v>
      </c>
    </row>
    <row r="3172" spans="1:2" ht="15">
      <c r="A3172" s="77" t="s">
        <v>6914</v>
      </c>
      <c r="B3172" s="76" t="s">
        <v>10945</v>
      </c>
    </row>
    <row r="3173" spans="1:2" ht="15">
      <c r="A3173" s="77" t="s">
        <v>6915</v>
      </c>
      <c r="B3173" s="76" t="s">
        <v>10945</v>
      </c>
    </row>
    <row r="3174" spans="1:2" ht="15">
      <c r="A3174" s="77" t="s">
        <v>6916</v>
      </c>
      <c r="B3174" s="76" t="s">
        <v>10945</v>
      </c>
    </row>
    <row r="3175" spans="1:2" ht="15">
      <c r="A3175" s="77" t="s">
        <v>6917</v>
      </c>
      <c r="B3175" s="76" t="s">
        <v>10945</v>
      </c>
    </row>
    <row r="3176" spans="1:2" ht="15">
      <c r="A3176" s="77" t="s">
        <v>6918</v>
      </c>
      <c r="B3176" s="76" t="s">
        <v>10945</v>
      </c>
    </row>
    <row r="3177" spans="1:2" ht="15">
      <c r="A3177" s="77" t="s">
        <v>6919</v>
      </c>
      <c r="B3177" s="76" t="s">
        <v>10945</v>
      </c>
    </row>
    <row r="3178" spans="1:2" ht="15">
      <c r="A3178" s="77" t="s">
        <v>6920</v>
      </c>
      <c r="B3178" s="76" t="s">
        <v>10945</v>
      </c>
    </row>
    <row r="3179" spans="1:2" ht="15">
      <c r="A3179" s="77" t="s">
        <v>6921</v>
      </c>
      <c r="B3179" s="76" t="s">
        <v>10945</v>
      </c>
    </row>
    <row r="3180" spans="1:2" ht="15">
      <c r="A3180" s="77" t="s">
        <v>6922</v>
      </c>
      <c r="B3180" s="76" t="s">
        <v>10945</v>
      </c>
    </row>
    <row r="3181" spans="1:2" ht="15">
      <c r="A3181" s="77" t="s">
        <v>6923</v>
      </c>
      <c r="B3181" s="76" t="s">
        <v>10945</v>
      </c>
    </row>
    <row r="3182" spans="1:2" ht="15">
      <c r="A3182" s="77" t="s">
        <v>6924</v>
      </c>
      <c r="B3182" s="76" t="s">
        <v>10945</v>
      </c>
    </row>
    <row r="3183" spans="1:2" ht="15">
      <c r="A3183" s="77" t="s">
        <v>6925</v>
      </c>
      <c r="B3183" s="76" t="s">
        <v>10945</v>
      </c>
    </row>
    <row r="3184" spans="1:2" ht="15">
      <c r="A3184" s="77" t="s">
        <v>6926</v>
      </c>
      <c r="B3184" s="76" t="s">
        <v>10945</v>
      </c>
    </row>
    <row r="3185" spans="1:2" ht="15">
      <c r="A3185" s="77" t="s">
        <v>6927</v>
      </c>
      <c r="B3185" s="76" t="s">
        <v>10945</v>
      </c>
    </row>
    <row r="3186" spans="1:2" ht="15">
      <c r="A3186" s="77" t="s">
        <v>6928</v>
      </c>
      <c r="B3186" s="76" t="s">
        <v>10945</v>
      </c>
    </row>
    <row r="3187" spans="1:2" ht="15">
      <c r="A3187" s="77" t="s">
        <v>6929</v>
      </c>
      <c r="B3187" s="76" t="s">
        <v>10945</v>
      </c>
    </row>
    <row r="3188" spans="1:2" ht="15">
      <c r="A3188" s="77" t="s">
        <v>6930</v>
      </c>
      <c r="B3188" s="76" t="s">
        <v>10945</v>
      </c>
    </row>
    <row r="3189" spans="1:2" ht="15">
      <c r="A3189" s="77" t="s">
        <v>6931</v>
      </c>
      <c r="B3189" s="76" t="s">
        <v>10945</v>
      </c>
    </row>
    <row r="3190" spans="1:2" ht="15">
      <c r="A3190" s="77" t="s">
        <v>6932</v>
      </c>
      <c r="B3190" s="76" t="s">
        <v>10945</v>
      </c>
    </row>
    <row r="3191" spans="1:2" ht="15">
      <c r="A3191" s="77" t="s">
        <v>6933</v>
      </c>
      <c r="B3191" s="76" t="s">
        <v>10945</v>
      </c>
    </row>
    <row r="3192" spans="1:2" ht="15">
      <c r="A3192" s="77" t="s">
        <v>2842</v>
      </c>
      <c r="B3192" s="76" t="s">
        <v>10945</v>
      </c>
    </row>
    <row r="3193" spans="1:2" ht="15">
      <c r="A3193" s="77" t="s">
        <v>6934</v>
      </c>
      <c r="B3193" s="76" t="s">
        <v>10945</v>
      </c>
    </row>
    <row r="3194" spans="1:2" ht="15">
      <c r="A3194" s="77" t="s">
        <v>6935</v>
      </c>
      <c r="B3194" s="76" t="s">
        <v>10945</v>
      </c>
    </row>
    <row r="3195" spans="1:2" ht="15">
      <c r="A3195" s="77" t="s">
        <v>6936</v>
      </c>
      <c r="B3195" s="76" t="s">
        <v>10945</v>
      </c>
    </row>
    <row r="3196" spans="1:2" ht="15">
      <c r="A3196" s="77" t="s">
        <v>6937</v>
      </c>
      <c r="B3196" s="76" t="s">
        <v>10945</v>
      </c>
    </row>
    <row r="3197" spans="1:2" ht="15">
      <c r="A3197" s="77" t="s">
        <v>6938</v>
      </c>
      <c r="B3197" s="76" t="s">
        <v>10945</v>
      </c>
    </row>
    <row r="3198" spans="1:2" ht="15">
      <c r="A3198" s="77" t="s">
        <v>2942</v>
      </c>
      <c r="B3198" s="76" t="s">
        <v>10945</v>
      </c>
    </row>
    <row r="3199" spans="1:2" ht="15">
      <c r="A3199" s="77" t="s">
        <v>6939</v>
      </c>
      <c r="B3199" s="76" t="s">
        <v>10945</v>
      </c>
    </row>
    <row r="3200" spans="1:2" ht="15">
      <c r="A3200" s="77" t="s">
        <v>6940</v>
      </c>
      <c r="B3200" s="76" t="s">
        <v>10945</v>
      </c>
    </row>
    <row r="3201" spans="1:2" ht="15">
      <c r="A3201" s="77" t="s">
        <v>6941</v>
      </c>
      <c r="B3201" s="76" t="s">
        <v>10945</v>
      </c>
    </row>
    <row r="3202" spans="1:2" ht="15">
      <c r="A3202" s="77" t="s">
        <v>6942</v>
      </c>
      <c r="B3202" s="76" t="s">
        <v>10945</v>
      </c>
    </row>
    <row r="3203" spans="1:2" ht="15">
      <c r="A3203" s="77" t="s">
        <v>6943</v>
      </c>
      <c r="B3203" s="76" t="s">
        <v>10945</v>
      </c>
    </row>
    <row r="3204" spans="1:2" ht="15">
      <c r="A3204" s="77" t="s">
        <v>6944</v>
      </c>
      <c r="B3204" s="76" t="s">
        <v>10945</v>
      </c>
    </row>
    <row r="3205" spans="1:2" ht="15">
      <c r="A3205" s="77" t="s">
        <v>6945</v>
      </c>
      <c r="B3205" s="76" t="s">
        <v>10945</v>
      </c>
    </row>
    <row r="3206" spans="1:2" ht="15">
      <c r="A3206" s="77" t="s">
        <v>6946</v>
      </c>
      <c r="B3206" s="76" t="s">
        <v>10945</v>
      </c>
    </row>
    <row r="3207" spans="1:2" ht="15">
      <c r="A3207" s="77" t="s">
        <v>6947</v>
      </c>
      <c r="B3207" s="76" t="s">
        <v>10945</v>
      </c>
    </row>
    <row r="3208" spans="1:2" ht="15">
      <c r="A3208" s="77" t="s">
        <v>6948</v>
      </c>
      <c r="B3208" s="76" t="s">
        <v>10945</v>
      </c>
    </row>
    <row r="3209" spans="1:2" ht="15">
      <c r="A3209" s="77" t="s">
        <v>6949</v>
      </c>
      <c r="B3209" s="76" t="s">
        <v>10945</v>
      </c>
    </row>
    <row r="3210" spans="1:2" ht="15">
      <c r="A3210" s="77" t="s">
        <v>6950</v>
      </c>
      <c r="B3210" s="76" t="s">
        <v>10945</v>
      </c>
    </row>
    <row r="3211" spans="1:2" ht="15">
      <c r="A3211" s="77" t="s">
        <v>6951</v>
      </c>
      <c r="B3211" s="76" t="s">
        <v>10945</v>
      </c>
    </row>
    <row r="3212" spans="1:2" ht="15">
      <c r="A3212" s="77" t="s">
        <v>6952</v>
      </c>
      <c r="B3212" s="76" t="s">
        <v>10945</v>
      </c>
    </row>
    <row r="3213" spans="1:2" ht="15">
      <c r="A3213" s="77" t="s">
        <v>6953</v>
      </c>
      <c r="B3213" s="76" t="s">
        <v>10945</v>
      </c>
    </row>
    <row r="3214" spans="1:2" ht="15">
      <c r="A3214" s="77" t="s">
        <v>6954</v>
      </c>
      <c r="B3214" s="76" t="s">
        <v>10945</v>
      </c>
    </row>
    <row r="3215" spans="1:2" ht="15">
      <c r="A3215" s="77" t="s">
        <v>6955</v>
      </c>
      <c r="B3215" s="76" t="s">
        <v>10945</v>
      </c>
    </row>
    <row r="3216" spans="1:2" ht="15">
      <c r="A3216" s="77" t="s">
        <v>6956</v>
      </c>
      <c r="B3216" s="76" t="s">
        <v>10945</v>
      </c>
    </row>
    <row r="3217" spans="1:2" ht="15">
      <c r="A3217" s="77" t="s">
        <v>6957</v>
      </c>
      <c r="B3217" s="76" t="s">
        <v>10945</v>
      </c>
    </row>
    <row r="3218" spans="1:2" ht="15">
      <c r="A3218" s="77" t="s">
        <v>6958</v>
      </c>
      <c r="B3218" s="76" t="s">
        <v>10945</v>
      </c>
    </row>
    <row r="3219" spans="1:2" ht="15">
      <c r="A3219" s="77" t="s">
        <v>6959</v>
      </c>
      <c r="B3219" s="76" t="s">
        <v>10945</v>
      </c>
    </row>
    <row r="3220" spans="1:2" ht="15">
      <c r="A3220" s="77" t="s">
        <v>6960</v>
      </c>
      <c r="B3220" s="76" t="s">
        <v>10945</v>
      </c>
    </row>
    <row r="3221" spans="1:2" ht="15">
      <c r="A3221" s="77" t="s">
        <v>6961</v>
      </c>
      <c r="B3221" s="76" t="s">
        <v>10945</v>
      </c>
    </row>
    <row r="3222" spans="1:2" ht="15">
      <c r="A3222" s="77" t="s">
        <v>6962</v>
      </c>
      <c r="B3222" s="76" t="s">
        <v>10945</v>
      </c>
    </row>
    <row r="3223" spans="1:2" ht="15">
      <c r="A3223" s="77" t="s">
        <v>6963</v>
      </c>
      <c r="B3223" s="76" t="s">
        <v>10945</v>
      </c>
    </row>
    <row r="3224" spans="1:2" ht="15">
      <c r="A3224" s="77" t="s">
        <v>6964</v>
      </c>
      <c r="B3224" s="76" t="s">
        <v>10945</v>
      </c>
    </row>
    <row r="3225" spans="1:2" ht="15">
      <c r="A3225" s="77" t="s">
        <v>6965</v>
      </c>
      <c r="B3225" s="76" t="s">
        <v>10945</v>
      </c>
    </row>
    <row r="3226" spans="1:2" ht="15">
      <c r="A3226" s="77" t="s">
        <v>6966</v>
      </c>
      <c r="B3226" s="76" t="s">
        <v>10945</v>
      </c>
    </row>
    <row r="3227" spans="1:2" ht="15">
      <c r="A3227" s="77" t="s">
        <v>6967</v>
      </c>
      <c r="B3227" s="76" t="s">
        <v>10945</v>
      </c>
    </row>
    <row r="3228" spans="1:2" ht="15">
      <c r="A3228" s="77" t="s">
        <v>6968</v>
      </c>
      <c r="B3228" s="76" t="s">
        <v>10945</v>
      </c>
    </row>
    <row r="3229" spans="1:2" ht="15">
      <c r="A3229" s="77" t="s">
        <v>6969</v>
      </c>
      <c r="B3229" s="76" t="s">
        <v>10945</v>
      </c>
    </row>
    <row r="3230" spans="1:2" ht="15">
      <c r="A3230" s="77" t="s">
        <v>6970</v>
      </c>
      <c r="B3230" s="76" t="s">
        <v>10945</v>
      </c>
    </row>
    <row r="3231" spans="1:2" ht="15">
      <c r="A3231" s="77" t="s">
        <v>6971</v>
      </c>
      <c r="B3231" s="76" t="s">
        <v>10945</v>
      </c>
    </row>
    <row r="3232" spans="1:2" ht="15">
      <c r="A3232" s="77" t="s">
        <v>6972</v>
      </c>
      <c r="B3232" s="76" t="s">
        <v>10945</v>
      </c>
    </row>
    <row r="3233" spans="1:2" ht="15">
      <c r="A3233" s="77" t="s">
        <v>6973</v>
      </c>
      <c r="B3233" s="76" t="s">
        <v>10945</v>
      </c>
    </row>
    <row r="3234" spans="1:2" ht="15">
      <c r="A3234" s="77" t="s">
        <v>6974</v>
      </c>
      <c r="B3234" s="76" t="s">
        <v>10945</v>
      </c>
    </row>
    <row r="3235" spans="1:2" ht="15">
      <c r="A3235" s="77" t="s">
        <v>6975</v>
      </c>
      <c r="B3235" s="76" t="s">
        <v>10945</v>
      </c>
    </row>
    <row r="3236" spans="1:2" ht="15">
      <c r="A3236" s="77" t="s">
        <v>6976</v>
      </c>
      <c r="B3236" s="76" t="s">
        <v>10945</v>
      </c>
    </row>
    <row r="3237" spans="1:2" ht="15">
      <c r="A3237" s="77" t="s">
        <v>6977</v>
      </c>
      <c r="B3237" s="76" t="s">
        <v>10945</v>
      </c>
    </row>
    <row r="3238" spans="1:2" ht="15">
      <c r="A3238" s="77" t="s">
        <v>6978</v>
      </c>
      <c r="B3238" s="76" t="s">
        <v>10945</v>
      </c>
    </row>
    <row r="3239" spans="1:2" ht="15">
      <c r="A3239" s="77" t="s">
        <v>3010</v>
      </c>
      <c r="B3239" s="76" t="s">
        <v>10945</v>
      </c>
    </row>
    <row r="3240" spans="1:2" ht="15">
      <c r="A3240" s="77" t="s">
        <v>6979</v>
      </c>
      <c r="B3240" s="76" t="s">
        <v>10945</v>
      </c>
    </row>
    <row r="3241" spans="1:2" ht="15">
      <c r="A3241" s="77" t="s">
        <v>6980</v>
      </c>
      <c r="B3241" s="76" t="s">
        <v>10945</v>
      </c>
    </row>
    <row r="3242" spans="1:2" ht="15">
      <c r="A3242" s="77" t="s">
        <v>6981</v>
      </c>
      <c r="B3242" s="76" t="s">
        <v>10945</v>
      </c>
    </row>
    <row r="3243" spans="1:2" ht="15">
      <c r="A3243" s="77" t="s">
        <v>6982</v>
      </c>
      <c r="B3243" s="76" t="s">
        <v>10945</v>
      </c>
    </row>
    <row r="3244" spans="1:2" ht="15">
      <c r="A3244" s="77" t="s">
        <v>6983</v>
      </c>
      <c r="B3244" s="76" t="s">
        <v>10945</v>
      </c>
    </row>
    <row r="3245" spans="1:2" ht="15">
      <c r="A3245" s="77" t="s">
        <v>6984</v>
      </c>
      <c r="B3245" s="76" t="s">
        <v>10945</v>
      </c>
    </row>
    <row r="3246" spans="1:2" ht="15">
      <c r="A3246" s="77" t="s">
        <v>6985</v>
      </c>
      <c r="B3246" s="76" t="s">
        <v>10945</v>
      </c>
    </row>
    <row r="3247" spans="1:2" ht="15">
      <c r="A3247" s="77" t="s">
        <v>6986</v>
      </c>
      <c r="B3247" s="76" t="s">
        <v>10945</v>
      </c>
    </row>
    <row r="3248" spans="1:2" ht="15">
      <c r="A3248" s="77" t="s">
        <v>6987</v>
      </c>
      <c r="B3248" s="76" t="s">
        <v>10945</v>
      </c>
    </row>
    <row r="3249" spans="1:2" ht="15">
      <c r="A3249" s="77" t="s">
        <v>6988</v>
      </c>
      <c r="B3249" s="76" t="s">
        <v>10945</v>
      </c>
    </row>
    <row r="3250" spans="1:2" ht="15">
      <c r="A3250" s="77" t="s">
        <v>6989</v>
      </c>
      <c r="B3250" s="76" t="s">
        <v>10945</v>
      </c>
    </row>
    <row r="3251" spans="1:2" ht="15">
      <c r="A3251" s="77" t="s">
        <v>6990</v>
      </c>
      <c r="B3251" s="76" t="s">
        <v>10945</v>
      </c>
    </row>
    <row r="3252" spans="1:2" ht="15">
      <c r="A3252" s="77" t="s">
        <v>6991</v>
      </c>
      <c r="B3252" s="76" t="s">
        <v>10945</v>
      </c>
    </row>
    <row r="3253" spans="1:2" ht="15">
      <c r="A3253" s="77" t="s">
        <v>6992</v>
      </c>
      <c r="B3253" s="76" t="s">
        <v>10945</v>
      </c>
    </row>
    <row r="3254" spans="1:2" ht="15">
      <c r="A3254" s="77" t="s">
        <v>6993</v>
      </c>
      <c r="B3254" s="76" t="s">
        <v>10945</v>
      </c>
    </row>
    <row r="3255" spans="1:2" ht="15">
      <c r="A3255" s="77" t="s">
        <v>6994</v>
      </c>
      <c r="B3255" s="76" t="s">
        <v>10945</v>
      </c>
    </row>
    <row r="3256" spans="1:2" ht="15">
      <c r="A3256" s="77" t="s">
        <v>6995</v>
      </c>
      <c r="B3256" s="76" t="s">
        <v>10945</v>
      </c>
    </row>
    <row r="3257" spans="1:2" ht="15">
      <c r="A3257" s="77" t="s">
        <v>6996</v>
      </c>
      <c r="B3257" s="76" t="s">
        <v>10945</v>
      </c>
    </row>
    <row r="3258" spans="1:2" ht="15">
      <c r="A3258" s="77" t="s">
        <v>6997</v>
      </c>
      <c r="B3258" s="76" t="s">
        <v>10945</v>
      </c>
    </row>
    <row r="3259" spans="1:2" ht="15">
      <c r="A3259" s="77" t="s">
        <v>6998</v>
      </c>
      <c r="B3259" s="76" t="s">
        <v>10945</v>
      </c>
    </row>
    <row r="3260" spans="1:2" ht="15">
      <c r="A3260" s="77" t="s">
        <v>6999</v>
      </c>
      <c r="B3260" s="76" t="s">
        <v>10945</v>
      </c>
    </row>
    <row r="3261" spans="1:2" ht="15">
      <c r="A3261" s="77" t="s">
        <v>7000</v>
      </c>
      <c r="B3261" s="76" t="s">
        <v>10945</v>
      </c>
    </row>
    <row r="3262" spans="1:2" ht="15">
      <c r="A3262" s="77" t="s">
        <v>7001</v>
      </c>
      <c r="B3262" s="76" t="s">
        <v>10945</v>
      </c>
    </row>
    <row r="3263" spans="1:2" ht="15">
      <c r="A3263" s="77" t="s">
        <v>7002</v>
      </c>
      <c r="B3263" s="76" t="s">
        <v>10945</v>
      </c>
    </row>
    <row r="3264" spans="1:2" ht="15">
      <c r="A3264" s="77" t="s">
        <v>7003</v>
      </c>
      <c r="B3264" s="76" t="s">
        <v>10945</v>
      </c>
    </row>
    <row r="3265" spans="1:2" ht="15">
      <c r="A3265" s="77" t="s">
        <v>7004</v>
      </c>
      <c r="B3265" s="76" t="s">
        <v>10945</v>
      </c>
    </row>
    <row r="3266" spans="1:2" ht="15">
      <c r="A3266" s="77" t="s">
        <v>7005</v>
      </c>
      <c r="B3266" s="76" t="s">
        <v>10945</v>
      </c>
    </row>
    <row r="3267" spans="1:2" ht="15">
      <c r="A3267" s="77" t="s">
        <v>7006</v>
      </c>
      <c r="B3267" s="76" t="s">
        <v>10945</v>
      </c>
    </row>
    <row r="3268" spans="1:2" ht="15">
      <c r="A3268" s="77" t="s">
        <v>7007</v>
      </c>
      <c r="B3268" s="76" t="s">
        <v>10945</v>
      </c>
    </row>
    <row r="3269" spans="1:2" ht="15">
      <c r="A3269" s="77" t="s">
        <v>7008</v>
      </c>
      <c r="B3269" s="76" t="s">
        <v>10945</v>
      </c>
    </row>
    <row r="3270" spans="1:2" ht="15">
      <c r="A3270" s="77" t="s">
        <v>7009</v>
      </c>
      <c r="B3270" s="76" t="s">
        <v>10945</v>
      </c>
    </row>
    <row r="3271" spans="1:2" ht="15">
      <c r="A3271" s="77" t="s">
        <v>7010</v>
      </c>
      <c r="B3271" s="76" t="s">
        <v>10945</v>
      </c>
    </row>
    <row r="3272" spans="1:2" ht="15">
      <c r="A3272" s="77" t="s">
        <v>7011</v>
      </c>
      <c r="B3272" s="76" t="s">
        <v>10945</v>
      </c>
    </row>
    <row r="3273" spans="1:2" ht="15">
      <c r="A3273" s="77" t="s">
        <v>7012</v>
      </c>
      <c r="B3273" s="76" t="s">
        <v>10945</v>
      </c>
    </row>
    <row r="3274" spans="1:2" ht="15">
      <c r="A3274" s="77" t="s">
        <v>7013</v>
      </c>
      <c r="B3274" s="76" t="s">
        <v>10945</v>
      </c>
    </row>
    <row r="3275" spans="1:2" ht="15">
      <c r="A3275" s="77" t="s">
        <v>7014</v>
      </c>
      <c r="B3275" s="76" t="s">
        <v>10945</v>
      </c>
    </row>
    <row r="3276" spans="1:2" ht="15">
      <c r="A3276" s="77" t="s">
        <v>7015</v>
      </c>
      <c r="B3276" s="76" t="s">
        <v>10945</v>
      </c>
    </row>
    <row r="3277" spans="1:2" ht="15">
      <c r="A3277" s="77" t="s">
        <v>3507</v>
      </c>
      <c r="B3277" s="76" t="s">
        <v>10945</v>
      </c>
    </row>
    <row r="3278" spans="1:2" ht="15">
      <c r="A3278" s="77" t="s">
        <v>7016</v>
      </c>
      <c r="B3278" s="76" t="s">
        <v>10945</v>
      </c>
    </row>
    <row r="3279" spans="1:2" ht="15">
      <c r="A3279" s="77" t="s">
        <v>7017</v>
      </c>
      <c r="B3279" s="76" t="s">
        <v>10945</v>
      </c>
    </row>
    <row r="3280" spans="1:2" ht="15">
      <c r="A3280" s="77" t="s">
        <v>7018</v>
      </c>
      <c r="B3280" s="76" t="s">
        <v>10945</v>
      </c>
    </row>
    <row r="3281" spans="1:2" ht="15">
      <c r="A3281" s="77" t="s">
        <v>7019</v>
      </c>
      <c r="B3281" s="76" t="s">
        <v>10945</v>
      </c>
    </row>
    <row r="3282" spans="1:2" ht="15">
      <c r="A3282" s="77" t="s">
        <v>7020</v>
      </c>
      <c r="B3282" s="76" t="s">
        <v>10945</v>
      </c>
    </row>
    <row r="3283" spans="1:2" ht="15">
      <c r="A3283" s="77" t="s">
        <v>7021</v>
      </c>
      <c r="B3283" s="76" t="s">
        <v>10945</v>
      </c>
    </row>
    <row r="3284" spans="1:2" ht="15">
      <c r="A3284" s="77" t="s">
        <v>7022</v>
      </c>
      <c r="B3284" s="76" t="s">
        <v>10945</v>
      </c>
    </row>
    <row r="3285" spans="1:2" ht="15">
      <c r="A3285" s="77" t="s">
        <v>7023</v>
      </c>
      <c r="B3285" s="76" t="s">
        <v>10945</v>
      </c>
    </row>
    <row r="3286" spans="1:2" ht="15">
      <c r="A3286" s="77" t="s">
        <v>7024</v>
      </c>
      <c r="B3286" s="76" t="s">
        <v>10945</v>
      </c>
    </row>
    <row r="3287" spans="1:2" ht="15">
      <c r="A3287" s="77" t="s">
        <v>3389</v>
      </c>
      <c r="B3287" s="76" t="s">
        <v>10945</v>
      </c>
    </row>
    <row r="3288" spans="1:2" ht="15">
      <c r="A3288" s="77" t="s">
        <v>7025</v>
      </c>
      <c r="B3288" s="76" t="s">
        <v>10945</v>
      </c>
    </row>
    <row r="3289" spans="1:2" ht="15">
      <c r="A3289" s="77" t="s">
        <v>7026</v>
      </c>
      <c r="B3289" s="76" t="s">
        <v>10945</v>
      </c>
    </row>
    <row r="3290" spans="1:2" ht="15">
      <c r="A3290" s="77" t="s">
        <v>7027</v>
      </c>
      <c r="B3290" s="76" t="s">
        <v>10945</v>
      </c>
    </row>
    <row r="3291" spans="1:2" ht="15">
      <c r="A3291" s="77" t="s">
        <v>7028</v>
      </c>
      <c r="B3291" s="76" t="s">
        <v>10945</v>
      </c>
    </row>
    <row r="3292" spans="1:2" ht="15">
      <c r="A3292" s="77" t="s">
        <v>7029</v>
      </c>
      <c r="B3292" s="76" t="s">
        <v>10945</v>
      </c>
    </row>
    <row r="3293" spans="1:2" ht="15">
      <c r="A3293" s="77" t="s">
        <v>7030</v>
      </c>
      <c r="B3293" s="76" t="s">
        <v>10945</v>
      </c>
    </row>
    <row r="3294" spans="1:2" ht="15">
      <c r="A3294" s="77" t="s">
        <v>7031</v>
      </c>
      <c r="B3294" s="76" t="s">
        <v>10945</v>
      </c>
    </row>
    <row r="3295" spans="1:2" ht="15">
      <c r="A3295" s="77" t="s">
        <v>7032</v>
      </c>
      <c r="B3295" s="76" t="s">
        <v>10945</v>
      </c>
    </row>
    <row r="3296" spans="1:2" ht="15">
      <c r="A3296" s="77" t="s">
        <v>2716</v>
      </c>
      <c r="B3296" s="76" t="s">
        <v>10945</v>
      </c>
    </row>
    <row r="3297" spans="1:2" ht="15">
      <c r="A3297" s="77" t="s">
        <v>7033</v>
      </c>
      <c r="B3297" s="76" t="s">
        <v>10945</v>
      </c>
    </row>
    <row r="3298" spans="1:2" ht="15">
      <c r="A3298" s="77" t="s">
        <v>3775</v>
      </c>
      <c r="B3298" s="76" t="s">
        <v>10945</v>
      </c>
    </row>
    <row r="3299" spans="1:2" ht="15">
      <c r="A3299" s="77" t="s">
        <v>3712</v>
      </c>
      <c r="B3299" s="76" t="s">
        <v>10945</v>
      </c>
    </row>
    <row r="3300" spans="1:2" ht="15">
      <c r="A3300" s="77" t="s">
        <v>7034</v>
      </c>
      <c r="B3300" s="76" t="s">
        <v>10945</v>
      </c>
    </row>
    <row r="3301" spans="1:2" ht="15">
      <c r="A3301" s="77" t="s">
        <v>7035</v>
      </c>
      <c r="B3301" s="76" t="s">
        <v>10945</v>
      </c>
    </row>
    <row r="3302" spans="1:2" ht="15">
      <c r="A3302" s="77" t="s">
        <v>7036</v>
      </c>
      <c r="B3302" s="76" t="s">
        <v>10945</v>
      </c>
    </row>
    <row r="3303" spans="1:2" ht="15">
      <c r="A3303" s="77" t="s">
        <v>7037</v>
      </c>
      <c r="B3303" s="76" t="s">
        <v>10945</v>
      </c>
    </row>
    <row r="3304" spans="1:2" ht="15">
      <c r="A3304" s="77" t="s">
        <v>7038</v>
      </c>
      <c r="B3304" s="76" t="s">
        <v>10945</v>
      </c>
    </row>
    <row r="3305" spans="1:2" ht="15">
      <c r="A3305" s="77" t="s">
        <v>7039</v>
      </c>
      <c r="B3305" s="76" t="s">
        <v>10945</v>
      </c>
    </row>
    <row r="3306" spans="1:2" ht="15">
      <c r="A3306" s="77" t="s">
        <v>7040</v>
      </c>
      <c r="B3306" s="76" t="s">
        <v>10945</v>
      </c>
    </row>
    <row r="3307" spans="1:2" ht="15">
      <c r="A3307" s="77" t="s">
        <v>7041</v>
      </c>
      <c r="B3307" s="76" t="s">
        <v>10945</v>
      </c>
    </row>
    <row r="3308" spans="1:2" ht="15">
      <c r="A3308" s="77" t="s">
        <v>7042</v>
      </c>
      <c r="B3308" s="76" t="s">
        <v>10945</v>
      </c>
    </row>
    <row r="3309" spans="1:2" ht="15">
      <c r="A3309" s="77" t="s">
        <v>7043</v>
      </c>
      <c r="B3309" s="76" t="s">
        <v>10945</v>
      </c>
    </row>
    <row r="3310" spans="1:2" ht="15">
      <c r="A3310" s="77" t="s">
        <v>7044</v>
      </c>
      <c r="B3310" s="76" t="s">
        <v>10945</v>
      </c>
    </row>
    <row r="3311" spans="1:2" ht="15">
      <c r="A3311" s="77" t="s">
        <v>7045</v>
      </c>
      <c r="B3311" s="76" t="s">
        <v>10945</v>
      </c>
    </row>
    <row r="3312" spans="1:2" ht="15">
      <c r="A3312" s="77" t="s">
        <v>7046</v>
      </c>
      <c r="B3312" s="76" t="s">
        <v>10945</v>
      </c>
    </row>
    <row r="3313" spans="1:2" ht="15">
      <c r="A3313" s="77" t="s">
        <v>7047</v>
      </c>
      <c r="B3313" s="76" t="s">
        <v>10945</v>
      </c>
    </row>
    <row r="3314" spans="1:2" ht="15">
      <c r="A3314" s="77" t="s">
        <v>7048</v>
      </c>
      <c r="B3314" s="76" t="s">
        <v>10945</v>
      </c>
    </row>
    <row r="3315" spans="1:2" ht="15">
      <c r="A3315" s="77" t="s">
        <v>7049</v>
      </c>
      <c r="B3315" s="76" t="s">
        <v>10945</v>
      </c>
    </row>
    <row r="3316" spans="1:2" ht="15">
      <c r="A3316" s="77" t="s">
        <v>7050</v>
      </c>
      <c r="B3316" s="76" t="s">
        <v>10945</v>
      </c>
    </row>
    <row r="3317" spans="1:2" ht="15">
      <c r="A3317" s="77" t="s">
        <v>7051</v>
      </c>
      <c r="B3317" s="76" t="s">
        <v>10945</v>
      </c>
    </row>
    <row r="3318" spans="1:2" ht="15">
      <c r="A3318" s="77" t="s">
        <v>3047</v>
      </c>
      <c r="B3318" s="76" t="s">
        <v>10945</v>
      </c>
    </row>
    <row r="3319" spans="1:2" ht="15">
      <c r="A3319" s="77" t="s">
        <v>7052</v>
      </c>
      <c r="B3319" s="76" t="s">
        <v>10945</v>
      </c>
    </row>
    <row r="3320" spans="1:2" ht="15">
      <c r="A3320" s="77" t="s">
        <v>7053</v>
      </c>
      <c r="B3320" s="76" t="s">
        <v>10945</v>
      </c>
    </row>
    <row r="3321" spans="1:2" ht="15">
      <c r="A3321" s="77" t="s">
        <v>7054</v>
      </c>
      <c r="B3321" s="76" t="s">
        <v>10945</v>
      </c>
    </row>
    <row r="3322" spans="1:2" ht="15">
      <c r="A3322" s="77" t="s">
        <v>7055</v>
      </c>
      <c r="B3322" s="76" t="s">
        <v>10945</v>
      </c>
    </row>
    <row r="3323" spans="1:2" ht="15">
      <c r="A3323" s="77" t="s">
        <v>7056</v>
      </c>
      <c r="B3323" s="76" t="s">
        <v>10945</v>
      </c>
    </row>
    <row r="3324" spans="1:2" ht="15">
      <c r="A3324" s="77" t="s">
        <v>7057</v>
      </c>
      <c r="B3324" s="76" t="s">
        <v>10945</v>
      </c>
    </row>
    <row r="3325" spans="1:2" ht="15">
      <c r="A3325" s="77" t="s">
        <v>7058</v>
      </c>
      <c r="B3325" s="76" t="s">
        <v>10945</v>
      </c>
    </row>
    <row r="3326" spans="1:2" ht="15">
      <c r="A3326" s="77" t="s">
        <v>7059</v>
      </c>
      <c r="B3326" s="76" t="s">
        <v>10945</v>
      </c>
    </row>
    <row r="3327" spans="1:2" ht="15">
      <c r="A3327" s="77" t="s">
        <v>7060</v>
      </c>
      <c r="B3327" s="76" t="s">
        <v>10945</v>
      </c>
    </row>
    <row r="3328" spans="1:2" ht="15">
      <c r="A3328" s="77" t="s">
        <v>7061</v>
      </c>
      <c r="B3328" s="76" t="s">
        <v>10945</v>
      </c>
    </row>
    <row r="3329" spans="1:2" ht="15">
      <c r="A3329" s="77" t="s">
        <v>7062</v>
      </c>
      <c r="B3329" s="76" t="s">
        <v>10945</v>
      </c>
    </row>
    <row r="3330" spans="1:2" ht="15">
      <c r="A3330" s="77" t="s">
        <v>7063</v>
      </c>
      <c r="B3330" s="76" t="s">
        <v>10945</v>
      </c>
    </row>
    <row r="3331" spans="1:2" ht="15">
      <c r="A3331" s="77" t="s">
        <v>7064</v>
      </c>
      <c r="B3331" s="76" t="s">
        <v>10945</v>
      </c>
    </row>
    <row r="3332" spans="1:2" ht="15">
      <c r="A3332" s="77" t="s">
        <v>7065</v>
      </c>
      <c r="B3332" s="76" t="s">
        <v>10945</v>
      </c>
    </row>
    <row r="3333" spans="1:2" ht="15">
      <c r="A3333" s="77" t="s">
        <v>7066</v>
      </c>
      <c r="B3333" s="76" t="s">
        <v>10945</v>
      </c>
    </row>
    <row r="3334" spans="1:2" ht="15">
      <c r="A3334" s="77" t="s">
        <v>7067</v>
      </c>
      <c r="B3334" s="76" t="s">
        <v>10945</v>
      </c>
    </row>
    <row r="3335" spans="1:2" ht="15">
      <c r="A3335" s="77" t="s">
        <v>7068</v>
      </c>
      <c r="B3335" s="76" t="s">
        <v>10945</v>
      </c>
    </row>
    <row r="3336" spans="1:2" ht="15">
      <c r="A3336" s="77" t="s">
        <v>7069</v>
      </c>
      <c r="B3336" s="76" t="s">
        <v>10945</v>
      </c>
    </row>
    <row r="3337" spans="1:2" ht="15">
      <c r="A3337" s="77" t="s">
        <v>7070</v>
      </c>
      <c r="B3337" s="76" t="s">
        <v>10945</v>
      </c>
    </row>
    <row r="3338" spans="1:2" ht="15">
      <c r="A3338" s="77" t="s">
        <v>7071</v>
      </c>
      <c r="B3338" s="76" t="s">
        <v>10945</v>
      </c>
    </row>
    <row r="3339" spans="1:2" ht="15">
      <c r="A3339" s="77" t="s">
        <v>7072</v>
      </c>
      <c r="B3339" s="76" t="s">
        <v>10945</v>
      </c>
    </row>
    <row r="3340" spans="1:2" ht="15">
      <c r="A3340" s="77" t="s">
        <v>7073</v>
      </c>
      <c r="B3340" s="76" t="s">
        <v>10945</v>
      </c>
    </row>
    <row r="3341" spans="1:2" ht="15">
      <c r="A3341" s="77" t="s">
        <v>7074</v>
      </c>
      <c r="B3341" s="76" t="s">
        <v>10945</v>
      </c>
    </row>
    <row r="3342" spans="1:2" ht="15">
      <c r="A3342" s="77" t="s">
        <v>7075</v>
      </c>
      <c r="B3342" s="76" t="s">
        <v>10945</v>
      </c>
    </row>
    <row r="3343" spans="1:2" ht="15">
      <c r="A3343" s="77" t="s">
        <v>7076</v>
      </c>
      <c r="B3343" s="76" t="s">
        <v>10945</v>
      </c>
    </row>
    <row r="3344" spans="1:2" ht="15">
      <c r="A3344" s="77" t="s">
        <v>7077</v>
      </c>
      <c r="B3344" s="76" t="s">
        <v>10945</v>
      </c>
    </row>
    <row r="3345" spans="1:2" ht="15">
      <c r="A3345" s="77" t="s">
        <v>3568</v>
      </c>
      <c r="B3345" s="76" t="s">
        <v>10945</v>
      </c>
    </row>
    <row r="3346" spans="1:2" ht="15">
      <c r="A3346" s="77" t="s">
        <v>3411</v>
      </c>
      <c r="B3346" s="76" t="s">
        <v>10945</v>
      </c>
    </row>
    <row r="3347" spans="1:2" ht="15">
      <c r="A3347" s="77" t="s">
        <v>7078</v>
      </c>
      <c r="B3347" s="76" t="s">
        <v>10945</v>
      </c>
    </row>
    <row r="3348" spans="1:2" ht="15">
      <c r="A3348" s="77" t="s">
        <v>7079</v>
      </c>
      <c r="B3348" s="76" t="s">
        <v>10945</v>
      </c>
    </row>
    <row r="3349" spans="1:2" ht="15">
      <c r="A3349" s="77" t="s">
        <v>3362</v>
      </c>
      <c r="B3349" s="76" t="s">
        <v>10945</v>
      </c>
    </row>
    <row r="3350" spans="1:2" ht="15">
      <c r="A3350" s="77" t="s">
        <v>7080</v>
      </c>
      <c r="B3350" s="76" t="s">
        <v>10945</v>
      </c>
    </row>
    <row r="3351" spans="1:2" ht="15">
      <c r="A3351" s="77" t="s">
        <v>7081</v>
      </c>
      <c r="B3351" s="76" t="s">
        <v>10945</v>
      </c>
    </row>
    <row r="3352" spans="1:2" ht="15">
      <c r="A3352" s="77" t="s">
        <v>7082</v>
      </c>
      <c r="B3352" s="76" t="s">
        <v>10945</v>
      </c>
    </row>
    <row r="3353" spans="1:2" ht="15">
      <c r="A3353" s="77" t="s">
        <v>7083</v>
      </c>
      <c r="B3353" s="76" t="s">
        <v>10945</v>
      </c>
    </row>
    <row r="3354" spans="1:2" ht="15">
      <c r="A3354" s="77" t="s">
        <v>7084</v>
      </c>
      <c r="B3354" s="76" t="s">
        <v>10945</v>
      </c>
    </row>
    <row r="3355" spans="1:2" ht="15">
      <c r="A3355" s="77" t="s">
        <v>7085</v>
      </c>
      <c r="B3355" s="76" t="s">
        <v>10945</v>
      </c>
    </row>
    <row r="3356" spans="1:2" ht="15">
      <c r="A3356" s="77" t="s">
        <v>7086</v>
      </c>
      <c r="B3356" s="76" t="s">
        <v>10945</v>
      </c>
    </row>
    <row r="3357" spans="1:2" ht="15">
      <c r="A3357" s="77" t="s">
        <v>7087</v>
      </c>
      <c r="B3357" s="76" t="s">
        <v>10945</v>
      </c>
    </row>
    <row r="3358" spans="1:2" ht="15">
      <c r="A3358" s="77" t="s">
        <v>7088</v>
      </c>
      <c r="B3358" s="76" t="s">
        <v>10945</v>
      </c>
    </row>
    <row r="3359" spans="1:2" ht="15">
      <c r="A3359" s="77" t="s">
        <v>7089</v>
      </c>
      <c r="B3359" s="76" t="s">
        <v>10945</v>
      </c>
    </row>
    <row r="3360" spans="1:2" ht="15">
      <c r="A3360" s="77" t="s">
        <v>7090</v>
      </c>
      <c r="B3360" s="76" t="s">
        <v>10945</v>
      </c>
    </row>
    <row r="3361" spans="1:2" ht="15">
      <c r="A3361" s="77" t="s">
        <v>7091</v>
      </c>
      <c r="B3361" s="76" t="s">
        <v>10945</v>
      </c>
    </row>
    <row r="3362" spans="1:2" ht="15">
      <c r="A3362" s="77" t="s">
        <v>7092</v>
      </c>
      <c r="B3362" s="76" t="s">
        <v>10945</v>
      </c>
    </row>
    <row r="3363" spans="1:2" ht="15">
      <c r="A3363" s="77" t="s">
        <v>7093</v>
      </c>
      <c r="B3363" s="76" t="s">
        <v>10945</v>
      </c>
    </row>
    <row r="3364" spans="1:2" ht="15">
      <c r="A3364" s="77" t="s">
        <v>7094</v>
      </c>
      <c r="B3364" s="76" t="s">
        <v>10945</v>
      </c>
    </row>
    <row r="3365" spans="1:2" ht="15">
      <c r="A3365" s="77" t="s">
        <v>7095</v>
      </c>
      <c r="B3365" s="76" t="s">
        <v>10945</v>
      </c>
    </row>
    <row r="3366" spans="1:2" ht="15">
      <c r="A3366" s="77" t="s">
        <v>7096</v>
      </c>
      <c r="B3366" s="76" t="s">
        <v>10945</v>
      </c>
    </row>
    <row r="3367" spans="1:2" ht="15">
      <c r="A3367" s="77" t="s">
        <v>7097</v>
      </c>
      <c r="B3367" s="76" t="s">
        <v>10945</v>
      </c>
    </row>
    <row r="3368" spans="1:2" ht="15">
      <c r="A3368" s="77" t="s">
        <v>7098</v>
      </c>
      <c r="B3368" s="76" t="s">
        <v>10945</v>
      </c>
    </row>
    <row r="3369" spans="1:2" ht="15">
      <c r="A3369" s="77" t="s">
        <v>7099</v>
      </c>
      <c r="B3369" s="76" t="s">
        <v>10945</v>
      </c>
    </row>
    <row r="3370" spans="1:2" ht="15">
      <c r="A3370" s="77" t="s">
        <v>7100</v>
      </c>
      <c r="B3370" s="76" t="s">
        <v>10945</v>
      </c>
    </row>
    <row r="3371" spans="1:2" ht="15">
      <c r="A3371" s="77" t="s">
        <v>7101</v>
      </c>
      <c r="B3371" s="76" t="s">
        <v>10945</v>
      </c>
    </row>
    <row r="3372" spans="1:2" ht="15">
      <c r="A3372" s="77" t="s">
        <v>2569</v>
      </c>
      <c r="B3372" s="76" t="s">
        <v>10945</v>
      </c>
    </row>
    <row r="3373" spans="1:2" ht="15">
      <c r="A3373" s="77" t="s">
        <v>7102</v>
      </c>
      <c r="B3373" s="76" t="s">
        <v>10945</v>
      </c>
    </row>
    <row r="3374" spans="1:2" ht="15">
      <c r="A3374" s="77" t="s">
        <v>7103</v>
      </c>
      <c r="B3374" s="76" t="s">
        <v>10945</v>
      </c>
    </row>
    <row r="3375" spans="1:2" ht="15">
      <c r="A3375" s="77" t="s">
        <v>7104</v>
      </c>
      <c r="B3375" s="76" t="s">
        <v>10945</v>
      </c>
    </row>
    <row r="3376" spans="1:2" ht="15">
      <c r="A3376" s="77" t="s">
        <v>7105</v>
      </c>
      <c r="B3376" s="76" t="s">
        <v>10945</v>
      </c>
    </row>
    <row r="3377" spans="1:2" ht="15">
      <c r="A3377" s="77" t="s">
        <v>7106</v>
      </c>
      <c r="B3377" s="76" t="s">
        <v>10945</v>
      </c>
    </row>
    <row r="3378" spans="1:2" ht="15">
      <c r="A3378" s="77" t="s">
        <v>7107</v>
      </c>
      <c r="B3378" s="76" t="s">
        <v>10945</v>
      </c>
    </row>
    <row r="3379" spans="1:2" ht="15">
      <c r="A3379" s="77" t="s">
        <v>2439</v>
      </c>
      <c r="B3379" s="76" t="s">
        <v>10945</v>
      </c>
    </row>
    <row r="3380" spans="1:2" ht="15">
      <c r="A3380" s="77" t="s">
        <v>7108</v>
      </c>
      <c r="B3380" s="76" t="s">
        <v>10945</v>
      </c>
    </row>
    <row r="3381" spans="1:2" ht="15">
      <c r="A3381" s="77" t="s">
        <v>7109</v>
      </c>
      <c r="B3381" s="76" t="s">
        <v>10945</v>
      </c>
    </row>
    <row r="3382" spans="1:2" ht="15">
      <c r="A3382" s="77" t="s">
        <v>7110</v>
      </c>
      <c r="B3382" s="76" t="s">
        <v>10945</v>
      </c>
    </row>
    <row r="3383" spans="1:2" ht="15">
      <c r="A3383" s="77" t="s">
        <v>7111</v>
      </c>
      <c r="B3383" s="76" t="s">
        <v>10945</v>
      </c>
    </row>
    <row r="3384" spans="1:2" ht="15">
      <c r="A3384" s="77" t="s">
        <v>7112</v>
      </c>
      <c r="B3384" s="76" t="s">
        <v>10945</v>
      </c>
    </row>
    <row r="3385" spans="1:2" ht="15">
      <c r="A3385" s="77" t="s">
        <v>7113</v>
      </c>
      <c r="B3385" s="76" t="s">
        <v>10945</v>
      </c>
    </row>
    <row r="3386" spans="1:2" ht="15">
      <c r="A3386" s="77" t="s">
        <v>7114</v>
      </c>
      <c r="B3386" s="76" t="s">
        <v>10945</v>
      </c>
    </row>
    <row r="3387" spans="1:2" ht="15">
      <c r="A3387" s="77" t="s">
        <v>7115</v>
      </c>
      <c r="B3387" s="76" t="s">
        <v>10945</v>
      </c>
    </row>
    <row r="3388" spans="1:2" ht="15">
      <c r="A3388" s="77" t="s">
        <v>7116</v>
      </c>
      <c r="B3388" s="76" t="s">
        <v>10945</v>
      </c>
    </row>
    <row r="3389" spans="1:2" ht="15">
      <c r="A3389" s="77" t="s">
        <v>7117</v>
      </c>
      <c r="B3389" s="76" t="s">
        <v>10945</v>
      </c>
    </row>
    <row r="3390" spans="1:2" ht="15">
      <c r="A3390" s="77" t="s">
        <v>7118</v>
      </c>
      <c r="B3390" s="76" t="s">
        <v>10945</v>
      </c>
    </row>
    <row r="3391" spans="1:2" ht="15">
      <c r="A3391" s="77" t="s">
        <v>7119</v>
      </c>
      <c r="B3391" s="76" t="s">
        <v>10945</v>
      </c>
    </row>
    <row r="3392" spans="1:2" ht="15">
      <c r="A3392" s="77" t="s">
        <v>7120</v>
      </c>
      <c r="B3392" s="76" t="s">
        <v>10945</v>
      </c>
    </row>
    <row r="3393" spans="1:2" ht="15">
      <c r="A3393" s="77" t="s">
        <v>7121</v>
      </c>
      <c r="B3393" s="76" t="s">
        <v>10945</v>
      </c>
    </row>
    <row r="3394" spans="1:2" ht="15">
      <c r="A3394" s="77" t="s">
        <v>7122</v>
      </c>
      <c r="B3394" s="76" t="s">
        <v>10945</v>
      </c>
    </row>
    <row r="3395" spans="1:2" ht="15">
      <c r="A3395" s="77" t="s">
        <v>7123</v>
      </c>
      <c r="B3395" s="76" t="s">
        <v>10945</v>
      </c>
    </row>
    <row r="3396" spans="1:2" ht="15">
      <c r="A3396" s="77" t="s">
        <v>7124</v>
      </c>
      <c r="B3396" s="76" t="s">
        <v>10945</v>
      </c>
    </row>
    <row r="3397" spans="1:2" ht="15">
      <c r="A3397" s="77" t="s">
        <v>7125</v>
      </c>
      <c r="B3397" s="76" t="s">
        <v>10945</v>
      </c>
    </row>
    <row r="3398" spans="1:2" ht="15">
      <c r="A3398" s="77" t="s">
        <v>7126</v>
      </c>
      <c r="B3398" s="76" t="s">
        <v>10945</v>
      </c>
    </row>
    <row r="3399" spans="1:2" ht="15">
      <c r="A3399" s="77" t="s">
        <v>7127</v>
      </c>
      <c r="B3399" s="76" t="s">
        <v>10945</v>
      </c>
    </row>
    <row r="3400" spans="1:2" ht="15">
      <c r="A3400" s="77" t="s">
        <v>7128</v>
      </c>
      <c r="B3400" s="76" t="s">
        <v>10945</v>
      </c>
    </row>
    <row r="3401" spans="1:2" ht="15">
      <c r="A3401" s="77" t="s">
        <v>7129</v>
      </c>
      <c r="B3401" s="76" t="s">
        <v>10945</v>
      </c>
    </row>
    <row r="3402" spans="1:2" ht="15">
      <c r="A3402" s="77" t="s">
        <v>7130</v>
      </c>
      <c r="B3402" s="76" t="s">
        <v>10945</v>
      </c>
    </row>
    <row r="3403" spans="1:2" ht="15">
      <c r="A3403" s="77" t="s">
        <v>7131</v>
      </c>
      <c r="B3403" s="76" t="s">
        <v>10945</v>
      </c>
    </row>
    <row r="3404" spans="1:2" ht="15">
      <c r="A3404" s="77" t="s">
        <v>7132</v>
      </c>
      <c r="B3404" s="76" t="s">
        <v>10945</v>
      </c>
    </row>
    <row r="3405" spans="1:2" ht="15">
      <c r="A3405" s="77" t="s">
        <v>7133</v>
      </c>
      <c r="B3405" s="76" t="s">
        <v>10945</v>
      </c>
    </row>
    <row r="3406" spans="1:2" ht="15">
      <c r="A3406" s="77" t="s">
        <v>7134</v>
      </c>
      <c r="B3406" s="76" t="s">
        <v>10945</v>
      </c>
    </row>
    <row r="3407" spans="1:2" ht="15">
      <c r="A3407" s="77" t="s">
        <v>7135</v>
      </c>
      <c r="B3407" s="76" t="s">
        <v>10945</v>
      </c>
    </row>
    <row r="3408" spans="1:2" ht="15">
      <c r="A3408" s="77" t="s">
        <v>7136</v>
      </c>
      <c r="B3408" s="76" t="s">
        <v>10945</v>
      </c>
    </row>
    <row r="3409" spans="1:2" ht="15">
      <c r="A3409" s="77" t="s">
        <v>7137</v>
      </c>
      <c r="B3409" s="76" t="s">
        <v>10945</v>
      </c>
    </row>
    <row r="3410" spans="1:2" ht="15">
      <c r="A3410" s="77" t="s">
        <v>7138</v>
      </c>
      <c r="B3410" s="76" t="s">
        <v>10945</v>
      </c>
    </row>
    <row r="3411" spans="1:2" ht="15">
      <c r="A3411" s="77" t="s">
        <v>7139</v>
      </c>
      <c r="B3411" s="76" t="s">
        <v>10945</v>
      </c>
    </row>
    <row r="3412" spans="1:2" ht="15">
      <c r="A3412" s="77" t="s">
        <v>7140</v>
      </c>
      <c r="B3412" s="76" t="s">
        <v>10945</v>
      </c>
    </row>
    <row r="3413" spans="1:2" ht="15">
      <c r="A3413" s="77" t="s">
        <v>7141</v>
      </c>
      <c r="B3413" s="76" t="s">
        <v>10945</v>
      </c>
    </row>
    <row r="3414" spans="1:2" ht="15">
      <c r="A3414" s="77" t="s">
        <v>7142</v>
      </c>
      <c r="B3414" s="76" t="s">
        <v>10945</v>
      </c>
    </row>
    <row r="3415" spans="1:2" ht="15">
      <c r="A3415" s="77" t="s">
        <v>7143</v>
      </c>
      <c r="B3415" s="76" t="s">
        <v>10945</v>
      </c>
    </row>
    <row r="3416" spans="1:2" ht="15">
      <c r="A3416" s="77" t="s">
        <v>7144</v>
      </c>
      <c r="B3416" s="76" t="s">
        <v>10945</v>
      </c>
    </row>
    <row r="3417" spans="1:2" ht="15">
      <c r="A3417" s="77" t="s">
        <v>7145</v>
      </c>
      <c r="B3417" s="76" t="s">
        <v>10945</v>
      </c>
    </row>
    <row r="3418" spans="1:2" ht="15">
      <c r="A3418" s="77" t="s">
        <v>7146</v>
      </c>
      <c r="B3418" s="76" t="s">
        <v>10945</v>
      </c>
    </row>
    <row r="3419" spans="1:2" ht="15">
      <c r="A3419" s="77" t="s">
        <v>7147</v>
      </c>
      <c r="B3419" s="76" t="s">
        <v>10945</v>
      </c>
    </row>
    <row r="3420" spans="1:2" ht="15">
      <c r="A3420" s="77" t="s">
        <v>7148</v>
      </c>
      <c r="B3420" s="76" t="s">
        <v>10945</v>
      </c>
    </row>
    <row r="3421" spans="1:2" ht="15">
      <c r="A3421" s="77" t="s">
        <v>7149</v>
      </c>
      <c r="B3421" s="76" t="s">
        <v>10945</v>
      </c>
    </row>
    <row r="3422" spans="1:2" ht="15">
      <c r="A3422" s="77" t="s">
        <v>7150</v>
      </c>
      <c r="B3422" s="76" t="s">
        <v>10945</v>
      </c>
    </row>
    <row r="3423" spans="1:2" ht="15">
      <c r="A3423" s="77" t="s">
        <v>7151</v>
      </c>
      <c r="B3423" s="76" t="s">
        <v>10945</v>
      </c>
    </row>
    <row r="3424" spans="1:2" ht="15">
      <c r="A3424" s="77" t="s">
        <v>7152</v>
      </c>
      <c r="B3424" s="76" t="s">
        <v>10945</v>
      </c>
    </row>
    <row r="3425" spans="1:2" ht="15">
      <c r="A3425" s="77" t="s">
        <v>7153</v>
      </c>
      <c r="B3425" s="76" t="s">
        <v>10945</v>
      </c>
    </row>
    <row r="3426" spans="1:2" ht="15">
      <c r="A3426" s="77" t="s">
        <v>7154</v>
      </c>
      <c r="B3426" s="76" t="s">
        <v>10945</v>
      </c>
    </row>
    <row r="3427" spans="1:2" ht="15">
      <c r="A3427" s="77" t="s">
        <v>7155</v>
      </c>
      <c r="B3427" s="76" t="s">
        <v>10945</v>
      </c>
    </row>
    <row r="3428" spans="1:2" ht="15">
      <c r="A3428" s="77" t="s">
        <v>7156</v>
      </c>
      <c r="B3428" s="76" t="s">
        <v>10945</v>
      </c>
    </row>
    <row r="3429" spans="1:2" ht="15">
      <c r="A3429" s="77" t="s">
        <v>7157</v>
      </c>
      <c r="B3429" s="76" t="s">
        <v>10945</v>
      </c>
    </row>
    <row r="3430" spans="1:2" ht="15">
      <c r="A3430" s="77" t="s">
        <v>7158</v>
      </c>
      <c r="B3430" s="76" t="s">
        <v>10945</v>
      </c>
    </row>
    <row r="3431" spans="1:2" ht="15">
      <c r="A3431" s="77" t="s">
        <v>7159</v>
      </c>
      <c r="B3431" s="76" t="s">
        <v>10945</v>
      </c>
    </row>
    <row r="3432" spans="1:2" ht="15">
      <c r="A3432" s="77" t="s">
        <v>7160</v>
      </c>
      <c r="B3432" s="76" t="s">
        <v>10945</v>
      </c>
    </row>
    <row r="3433" spans="1:2" ht="15">
      <c r="A3433" s="77" t="s">
        <v>7161</v>
      </c>
      <c r="B3433" s="76" t="s">
        <v>10945</v>
      </c>
    </row>
    <row r="3434" spans="1:2" ht="15">
      <c r="A3434" s="77" t="s">
        <v>7162</v>
      </c>
      <c r="B3434" s="76" t="s">
        <v>10945</v>
      </c>
    </row>
    <row r="3435" spans="1:2" ht="15">
      <c r="A3435" s="77" t="s">
        <v>7163</v>
      </c>
      <c r="B3435" s="76" t="s">
        <v>10945</v>
      </c>
    </row>
    <row r="3436" spans="1:2" ht="15">
      <c r="A3436" s="77" t="s">
        <v>7164</v>
      </c>
      <c r="B3436" s="76" t="s">
        <v>10945</v>
      </c>
    </row>
    <row r="3437" spans="1:2" ht="15">
      <c r="A3437" s="77" t="s">
        <v>7165</v>
      </c>
      <c r="B3437" s="76" t="s">
        <v>10945</v>
      </c>
    </row>
    <row r="3438" spans="1:2" ht="15">
      <c r="A3438" s="77" t="s">
        <v>7166</v>
      </c>
      <c r="B3438" s="76" t="s">
        <v>10945</v>
      </c>
    </row>
    <row r="3439" spans="1:2" ht="15">
      <c r="A3439" s="77" t="s">
        <v>7167</v>
      </c>
      <c r="B3439" s="76" t="s">
        <v>10945</v>
      </c>
    </row>
    <row r="3440" spans="1:2" ht="15">
      <c r="A3440" s="77" t="s">
        <v>7168</v>
      </c>
      <c r="B3440" s="76" t="s">
        <v>10945</v>
      </c>
    </row>
    <row r="3441" spans="1:2" ht="15">
      <c r="A3441" s="77" t="s">
        <v>7169</v>
      </c>
      <c r="B3441" s="76" t="s">
        <v>10945</v>
      </c>
    </row>
    <row r="3442" spans="1:2" ht="15">
      <c r="A3442" s="77" t="s">
        <v>7170</v>
      </c>
      <c r="B3442" s="76" t="s">
        <v>10945</v>
      </c>
    </row>
    <row r="3443" spans="1:2" ht="15">
      <c r="A3443" s="77" t="s">
        <v>7171</v>
      </c>
      <c r="B3443" s="76" t="s">
        <v>10945</v>
      </c>
    </row>
    <row r="3444" spans="1:2" ht="15">
      <c r="A3444" s="77" t="s">
        <v>7172</v>
      </c>
      <c r="B3444" s="76" t="s">
        <v>10945</v>
      </c>
    </row>
    <row r="3445" spans="1:2" ht="15">
      <c r="A3445" s="77" t="s">
        <v>7173</v>
      </c>
      <c r="B3445" s="76" t="s">
        <v>10945</v>
      </c>
    </row>
    <row r="3446" spans="1:2" ht="15">
      <c r="A3446" s="77" t="s">
        <v>7174</v>
      </c>
      <c r="B3446" s="76" t="s">
        <v>10945</v>
      </c>
    </row>
    <row r="3447" spans="1:2" ht="15">
      <c r="A3447" s="77" t="s">
        <v>7175</v>
      </c>
      <c r="B3447" s="76" t="s">
        <v>10945</v>
      </c>
    </row>
    <row r="3448" spans="1:2" ht="15">
      <c r="A3448" s="77" t="s">
        <v>7176</v>
      </c>
      <c r="B3448" s="76" t="s">
        <v>10945</v>
      </c>
    </row>
    <row r="3449" spans="1:2" ht="15">
      <c r="A3449" s="77" t="s">
        <v>7177</v>
      </c>
      <c r="B3449" s="76" t="s">
        <v>10945</v>
      </c>
    </row>
    <row r="3450" spans="1:2" ht="15">
      <c r="A3450" s="77" t="s">
        <v>7178</v>
      </c>
      <c r="B3450" s="76" t="s">
        <v>10945</v>
      </c>
    </row>
    <row r="3451" spans="1:2" ht="15">
      <c r="A3451" s="77" t="s">
        <v>7179</v>
      </c>
      <c r="B3451" s="76" t="s">
        <v>10945</v>
      </c>
    </row>
    <row r="3452" spans="1:2" ht="15">
      <c r="A3452" s="77" t="s">
        <v>7180</v>
      </c>
      <c r="B3452" s="76" t="s">
        <v>10945</v>
      </c>
    </row>
    <row r="3453" spans="1:2" ht="15">
      <c r="A3453" s="77" t="s">
        <v>7181</v>
      </c>
      <c r="B3453" s="76" t="s">
        <v>10945</v>
      </c>
    </row>
    <row r="3454" spans="1:2" ht="15">
      <c r="A3454" s="77" t="s">
        <v>7182</v>
      </c>
      <c r="B3454" s="76" t="s">
        <v>10945</v>
      </c>
    </row>
    <row r="3455" spans="1:2" ht="15">
      <c r="A3455" s="77" t="s">
        <v>7183</v>
      </c>
      <c r="B3455" s="76" t="s">
        <v>10945</v>
      </c>
    </row>
    <row r="3456" spans="1:2" ht="15">
      <c r="A3456" s="77" t="s">
        <v>7184</v>
      </c>
      <c r="B3456" s="76" t="s">
        <v>10945</v>
      </c>
    </row>
    <row r="3457" spans="1:2" ht="15">
      <c r="A3457" s="77" t="s">
        <v>7185</v>
      </c>
      <c r="B3457" s="76" t="s">
        <v>10945</v>
      </c>
    </row>
    <row r="3458" spans="1:2" ht="15">
      <c r="A3458" s="77" t="s">
        <v>7186</v>
      </c>
      <c r="B3458" s="76" t="s">
        <v>10945</v>
      </c>
    </row>
    <row r="3459" spans="1:2" ht="15">
      <c r="A3459" s="77" t="s">
        <v>7187</v>
      </c>
      <c r="B3459" s="76" t="s">
        <v>10945</v>
      </c>
    </row>
    <row r="3460" spans="1:2" ht="15">
      <c r="A3460" s="77" t="s">
        <v>7188</v>
      </c>
      <c r="B3460" s="76" t="s">
        <v>10945</v>
      </c>
    </row>
    <row r="3461" spans="1:2" ht="15">
      <c r="A3461" s="77" t="s">
        <v>7189</v>
      </c>
      <c r="B3461" s="76" t="s">
        <v>10945</v>
      </c>
    </row>
    <row r="3462" spans="1:2" ht="15">
      <c r="A3462" s="77" t="s">
        <v>7190</v>
      </c>
      <c r="B3462" s="76" t="s">
        <v>10945</v>
      </c>
    </row>
    <row r="3463" spans="1:2" ht="15">
      <c r="A3463" s="77" t="s">
        <v>7191</v>
      </c>
      <c r="B3463" s="76" t="s">
        <v>10945</v>
      </c>
    </row>
    <row r="3464" spans="1:2" ht="15">
      <c r="A3464" s="77" t="s">
        <v>7192</v>
      </c>
      <c r="B3464" s="76" t="s">
        <v>10945</v>
      </c>
    </row>
    <row r="3465" spans="1:2" ht="15">
      <c r="A3465" s="77" t="s">
        <v>7193</v>
      </c>
      <c r="B3465" s="76" t="s">
        <v>10945</v>
      </c>
    </row>
    <row r="3466" spans="1:2" ht="15">
      <c r="A3466" s="77" t="s">
        <v>7194</v>
      </c>
      <c r="B3466" s="76" t="s">
        <v>10945</v>
      </c>
    </row>
    <row r="3467" spans="1:2" ht="15">
      <c r="A3467" s="77" t="s">
        <v>7195</v>
      </c>
      <c r="B3467" s="76" t="s">
        <v>10945</v>
      </c>
    </row>
    <row r="3468" spans="1:2" ht="15">
      <c r="A3468" s="77" t="s">
        <v>7196</v>
      </c>
      <c r="B3468" s="76" t="s">
        <v>10945</v>
      </c>
    </row>
    <row r="3469" spans="1:2" ht="15">
      <c r="A3469" s="77" t="s">
        <v>7197</v>
      </c>
      <c r="B3469" s="76" t="s">
        <v>10945</v>
      </c>
    </row>
    <row r="3470" spans="1:2" ht="15">
      <c r="A3470" s="77" t="s">
        <v>3109</v>
      </c>
      <c r="B3470" s="76" t="s">
        <v>10945</v>
      </c>
    </row>
    <row r="3471" spans="1:2" ht="15">
      <c r="A3471" s="77" t="s">
        <v>3513</v>
      </c>
      <c r="B3471" s="76" t="s">
        <v>10945</v>
      </c>
    </row>
    <row r="3472" spans="1:2" ht="15">
      <c r="A3472" s="77" t="s">
        <v>7198</v>
      </c>
      <c r="B3472" s="76" t="s">
        <v>10945</v>
      </c>
    </row>
    <row r="3473" spans="1:2" ht="15">
      <c r="A3473" s="77" t="s">
        <v>7199</v>
      </c>
      <c r="B3473" s="76" t="s">
        <v>10945</v>
      </c>
    </row>
    <row r="3474" spans="1:2" ht="15">
      <c r="A3474" s="77" t="s">
        <v>7200</v>
      </c>
      <c r="B3474" s="76" t="s">
        <v>10945</v>
      </c>
    </row>
    <row r="3475" spans="1:2" ht="15">
      <c r="A3475" s="77" t="s">
        <v>7201</v>
      </c>
      <c r="B3475" s="76" t="s">
        <v>10945</v>
      </c>
    </row>
    <row r="3476" spans="1:2" ht="15">
      <c r="A3476" s="77" t="s">
        <v>7202</v>
      </c>
      <c r="B3476" s="76" t="s">
        <v>10945</v>
      </c>
    </row>
    <row r="3477" spans="1:2" ht="15">
      <c r="A3477" s="77" t="s">
        <v>2925</v>
      </c>
      <c r="B3477" s="76" t="s">
        <v>10945</v>
      </c>
    </row>
    <row r="3478" spans="1:2" ht="15">
      <c r="A3478" s="77" t="s">
        <v>7203</v>
      </c>
      <c r="B3478" s="76" t="s">
        <v>10945</v>
      </c>
    </row>
    <row r="3479" spans="1:2" ht="15">
      <c r="A3479" s="77" t="s">
        <v>7204</v>
      </c>
      <c r="B3479" s="76" t="s">
        <v>10945</v>
      </c>
    </row>
    <row r="3480" spans="1:2" ht="15">
      <c r="A3480" s="77" t="s">
        <v>7205</v>
      </c>
      <c r="B3480" s="76" t="s">
        <v>10945</v>
      </c>
    </row>
    <row r="3481" spans="1:2" ht="15">
      <c r="A3481" s="77" t="s">
        <v>7206</v>
      </c>
      <c r="B3481" s="76" t="s">
        <v>10945</v>
      </c>
    </row>
    <row r="3482" spans="1:2" ht="15">
      <c r="A3482" s="77" t="s">
        <v>7207</v>
      </c>
      <c r="B3482" s="76" t="s">
        <v>10945</v>
      </c>
    </row>
    <row r="3483" spans="1:2" ht="15">
      <c r="A3483" s="77" t="s">
        <v>7208</v>
      </c>
      <c r="B3483" s="76" t="s">
        <v>10945</v>
      </c>
    </row>
    <row r="3484" spans="1:2" ht="15">
      <c r="A3484" s="77" t="s">
        <v>7209</v>
      </c>
      <c r="B3484" s="76" t="s">
        <v>10945</v>
      </c>
    </row>
    <row r="3485" spans="1:2" ht="15">
      <c r="A3485" s="77" t="s">
        <v>7210</v>
      </c>
      <c r="B3485" s="76" t="s">
        <v>10945</v>
      </c>
    </row>
    <row r="3486" spans="1:2" ht="15">
      <c r="A3486" s="77" t="s">
        <v>7211</v>
      </c>
      <c r="B3486" s="76" t="s">
        <v>10945</v>
      </c>
    </row>
    <row r="3487" spans="1:2" ht="15">
      <c r="A3487" s="77" t="s">
        <v>7212</v>
      </c>
      <c r="B3487" s="76" t="s">
        <v>10945</v>
      </c>
    </row>
    <row r="3488" spans="1:2" ht="15">
      <c r="A3488" s="77" t="s">
        <v>7213</v>
      </c>
      <c r="B3488" s="76" t="s">
        <v>10945</v>
      </c>
    </row>
    <row r="3489" spans="1:2" ht="15">
      <c r="A3489" s="77" t="s">
        <v>7214</v>
      </c>
      <c r="B3489" s="76" t="s">
        <v>10945</v>
      </c>
    </row>
    <row r="3490" spans="1:2" ht="15">
      <c r="A3490" s="77" t="s">
        <v>7215</v>
      </c>
      <c r="B3490" s="76" t="s">
        <v>10945</v>
      </c>
    </row>
    <row r="3491" spans="1:2" ht="15">
      <c r="A3491" s="77" t="s">
        <v>7216</v>
      </c>
      <c r="B3491" s="76" t="s">
        <v>10945</v>
      </c>
    </row>
    <row r="3492" spans="1:2" ht="15">
      <c r="A3492" s="77" t="s">
        <v>7217</v>
      </c>
      <c r="B3492" s="76" t="s">
        <v>10945</v>
      </c>
    </row>
    <row r="3493" spans="1:2" ht="15">
      <c r="A3493" s="77" t="s">
        <v>7218</v>
      </c>
      <c r="B3493" s="76" t="s">
        <v>10945</v>
      </c>
    </row>
    <row r="3494" spans="1:2" ht="15">
      <c r="A3494" s="77" t="s">
        <v>7219</v>
      </c>
      <c r="B3494" s="76" t="s">
        <v>10945</v>
      </c>
    </row>
    <row r="3495" spans="1:2" ht="15">
      <c r="A3495" s="77" t="s">
        <v>7220</v>
      </c>
      <c r="B3495" s="76" t="s">
        <v>10945</v>
      </c>
    </row>
    <row r="3496" spans="1:2" ht="15">
      <c r="A3496" s="77" t="s">
        <v>7221</v>
      </c>
      <c r="B3496" s="76" t="s">
        <v>10945</v>
      </c>
    </row>
    <row r="3497" spans="1:2" ht="15">
      <c r="A3497" s="77" t="s">
        <v>7222</v>
      </c>
      <c r="B3497" s="76" t="s">
        <v>10945</v>
      </c>
    </row>
    <row r="3498" spans="1:2" ht="15">
      <c r="A3498" s="77" t="s">
        <v>7223</v>
      </c>
      <c r="B3498" s="76" t="s">
        <v>10945</v>
      </c>
    </row>
    <row r="3499" spans="1:2" ht="15">
      <c r="A3499" s="77" t="s">
        <v>7224</v>
      </c>
      <c r="B3499" s="76" t="s">
        <v>10945</v>
      </c>
    </row>
    <row r="3500" spans="1:2" ht="15">
      <c r="A3500" s="77" t="s">
        <v>7225</v>
      </c>
      <c r="B3500" s="76" t="s">
        <v>10945</v>
      </c>
    </row>
    <row r="3501" spans="1:2" ht="15">
      <c r="A3501" s="77" t="s">
        <v>7226</v>
      </c>
      <c r="B3501" s="76" t="s">
        <v>10945</v>
      </c>
    </row>
    <row r="3502" spans="1:2" ht="15">
      <c r="A3502" s="77" t="s">
        <v>7227</v>
      </c>
      <c r="B3502" s="76" t="s">
        <v>10945</v>
      </c>
    </row>
    <row r="3503" spans="1:2" ht="15">
      <c r="A3503" s="77" t="s">
        <v>7228</v>
      </c>
      <c r="B3503" s="76" t="s">
        <v>10945</v>
      </c>
    </row>
    <row r="3504" spans="1:2" ht="15">
      <c r="A3504" s="77" t="s">
        <v>7229</v>
      </c>
      <c r="B3504" s="76" t="s">
        <v>10945</v>
      </c>
    </row>
    <row r="3505" spans="1:2" ht="15">
      <c r="A3505" s="77" t="s">
        <v>7230</v>
      </c>
      <c r="B3505" s="76" t="s">
        <v>10945</v>
      </c>
    </row>
    <row r="3506" spans="1:2" ht="15">
      <c r="A3506" s="77" t="s">
        <v>7231</v>
      </c>
      <c r="B3506" s="76" t="s">
        <v>10945</v>
      </c>
    </row>
    <row r="3507" spans="1:2" ht="15">
      <c r="A3507" s="77" t="s">
        <v>7232</v>
      </c>
      <c r="B3507" s="76" t="s">
        <v>10945</v>
      </c>
    </row>
    <row r="3508" spans="1:2" ht="15">
      <c r="A3508" s="77" t="s">
        <v>7233</v>
      </c>
      <c r="B3508" s="76" t="s">
        <v>10945</v>
      </c>
    </row>
    <row r="3509" spans="1:2" ht="15">
      <c r="A3509" s="77" t="s">
        <v>7234</v>
      </c>
      <c r="B3509" s="76" t="s">
        <v>10945</v>
      </c>
    </row>
    <row r="3510" spans="1:2" ht="15">
      <c r="A3510" s="77" t="s">
        <v>2729</v>
      </c>
      <c r="B3510" s="76" t="s">
        <v>10945</v>
      </c>
    </row>
    <row r="3511" spans="1:2" ht="15">
      <c r="A3511" s="77" t="s">
        <v>7235</v>
      </c>
      <c r="B3511" s="76" t="s">
        <v>10945</v>
      </c>
    </row>
    <row r="3512" spans="1:2" ht="15">
      <c r="A3512" s="77" t="s">
        <v>7236</v>
      </c>
      <c r="B3512" s="76" t="s">
        <v>10945</v>
      </c>
    </row>
    <row r="3513" spans="1:2" ht="15">
      <c r="A3513" s="77" t="s">
        <v>7237</v>
      </c>
      <c r="B3513" s="76" t="s">
        <v>10945</v>
      </c>
    </row>
    <row r="3514" spans="1:2" ht="15">
      <c r="A3514" s="77" t="s">
        <v>7238</v>
      </c>
      <c r="B3514" s="76" t="s">
        <v>10945</v>
      </c>
    </row>
    <row r="3515" spans="1:2" ht="15">
      <c r="A3515" s="77" t="s">
        <v>7239</v>
      </c>
      <c r="B3515" s="76" t="s">
        <v>10945</v>
      </c>
    </row>
    <row r="3516" spans="1:2" ht="15">
      <c r="A3516" s="77" t="s">
        <v>7240</v>
      </c>
      <c r="B3516" s="76" t="s">
        <v>10945</v>
      </c>
    </row>
    <row r="3517" spans="1:2" ht="15">
      <c r="A3517" s="77" t="s">
        <v>7241</v>
      </c>
      <c r="B3517" s="76" t="s">
        <v>10945</v>
      </c>
    </row>
    <row r="3518" spans="1:2" ht="15">
      <c r="A3518" s="77" t="s">
        <v>3816</v>
      </c>
      <c r="B3518" s="76" t="s">
        <v>10945</v>
      </c>
    </row>
    <row r="3519" spans="1:2" ht="15">
      <c r="A3519" s="77" t="s">
        <v>7242</v>
      </c>
      <c r="B3519" s="76" t="s">
        <v>10945</v>
      </c>
    </row>
    <row r="3520" spans="1:2" ht="15">
      <c r="A3520" s="77" t="s">
        <v>7243</v>
      </c>
      <c r="B3520" s="76" t="s">
        <v>10945</v>
      </c>
    </row>
    <row r="3521" spans="1:2" ht="15">
      <c r="A3521" s="77" t="s">
        <v>7244</v>
      </c>
      <c r="B3521" s="76" t="s">
        <v>10945</v>
      </c>
    </row>
    <row r="3522" spans="1:2" ht="15">
      <c r="A3522" s="77" t="s">
        <v>7245</v>
      </c>
      <c r="B3522" s="76" t="s">
        <v>10945</v>
      </c>
    </row>
    <row r="3523" spans="1:2" ht="15">
      <c r="A3523" s="77" t="s">
        <v>7246</v>
      </c>
      <c r="B3523" s="76" t="s">
        <v>10945</v>
      </c>
    </row>
    <row r="3524" spans="1:2" ht="15">
      <c r="A3524" s="77" t="s">
        <v>7247</v>
      </c>
      <c r="B3524" s="76" t="s">
        <v>10945</v>
      </c>
    </row>
    <row r="3525" spans="1:2" ht="15">
      <c r="A3525" s="77" t="s">
        <v>7248</v>
      </c>
      <c r="B3525" s="76" t="s">
        <v>10945</v>
      </c>
    </row>
    <row r="3526" spans="1:2" ht="15">
      <c r="A3526" s="77" t="s">
        <v>7249</v>
      </c>
      <c r="B3526" s="76" t="s">
        <v>10945</v>
      </c>
    </row>
    <row r="3527" spans="1:2" ht="15">
      <c r="A3527" s="77" t="s">
        <v>7250</v>
      </c>
      <c r="B3527" s="76" t="s">
        <v>10945</v>
      </c>
    </row>
    <row r="3528" spans="1:2" ht="15">
      <c r="A3528" s="77" t="s">
        <v>7251</v>
      </c>
      <c r="B3528" s="76" t="s">
        <v>10945</v>
      </c>
    </row>
    <row r="3529" spans="1:2" ht="15">
      <c r="A3529" s="77" t="s">
        <v>7252</v>
      </c>
      <c r="B3529" s="76" t="s">
        <v>10945</v>
      </c>
    </row>
    <row r="3530" spans="1:2" ht="15">
      <c r="A3530" s="77" t="s">
        <v>7253</v>
      </c>
      <c r="B3530" s="76" t="s">
        <v>10945</v>
      </c>
    </row>
    <row r="3531" spans="1:2" ht="15">
      <c r="A3531" s="77" t="s">
        <v>7254</v>
      </c>
      <c r="B3531" s="76" t="s">
        <v>10945</v>
      </c>
    </row>
    <row r="3532" spans="1:2" ht="15">
      <c r="A3532" s="77" t="s">
        <v>7255</v>
      </c>
      <c r="B3532" s="76" t="s">
        <v>10945</v>
      </c>
    </row>
    <row r="3533" spans="1:2" ht="15">
      <c r="A3533" s="77" t="s">
        <v>7256</v>
      </c>
      <c r="B3533" s="76" t="s">
        <v>10945</v>
      </c>
    </row>
    <row r="3534" spans="1:2" ht="15">
      <c r="A3534" s="77" t="s">
        <v>7257</v>
      </c>
      <c r="B3534" s="76" t="s">
        <v>10945</v>
      </c>
    </row>
    <row r="3535" spans="1:2" ht="15">
      <c r="A3535" s="77" t="s">
        <v>7258</v>
      </c>
      <c r="B3535" s="76" t="s">
        <v>10945</v>
      </c>
    </row>
    <row r="3536" spans="1:2" ht="15">
      <c r="A3536" s="77" t="s">
        <v>7259</v>
      </c>
      <c r="B3536" s="76" t="s">
        <v>10945</v>
      </c>
    </row>
    <row r="3537" spans="1:2" ht="15">
      <c r="A3537" s="77" t="s">
        <v>7260</v>
      </c>
      <c r="B3537" s="76" t="s">
        <v>10945</v>
      </c>
    </row>
    <row r="3538" spans="1:2" ht="15">
      <c r="A3538" s="77" t="s">
        <v>7261</v>
      </c>
      <c r="B3538" s="76" t="s">
        <v>10945</v>
      </c>
    </row>
    <row r="3539" spans="1:2" ht="15">
      <c r="A3539" s="77" t="s">
        <v>7262</v>
      </c>
      <c r="B3539" s="76" t="s">
        <v>10945</v>
      </c>
    </row>
    <row r="3540" spans="1:2" ht="15">
      <c r="A3540" s="77" t="s">
        <v>7263</v>
      </c>
      <c r="B3540" s="76" t="s">
        <v>10945</v>
      </c>
    </row>
    <row r="3541" spans="1:2" ht="15">
      <c r="A3541" s="77" t="s">
        <v>7264</v>
      </c>
      <c r="B3541" s="76" t="s">
        <v>10945</v>
      </c>
    </row>
    <row r="3542" spans="1:2" ht="15">
      <c r="A3542" s="77" t="s">
        <v>7265</v>
      </c>
      <c r="B3542" s="76" t="s">
        <v>10945</v>
      </c>
    </row>
    <row r="3543" spans="1:2" ht="15">
      <c r="A3543" s="77" t="s">
        <v>7266</v>
      </c>
      <c r="B3543" s="76" t="s">
        <v>10945</v>
      </c>
    </row>
    <row r="3544" spans="1:2" ht="15">
      <c r="A3544" s="77" t="s">
        <v>7267</v>
      </c>
      <c r="B3544" s="76" t="s">
        <v>10945</v>
      </c>
    </row>
    <row r="3545" spans="1:2" ht="15">
      <c r="A3545" s="77" t="s">
        <v>7268</v>
      </c>
      <c r="B3545" s="76" t="s">
        <v>10945</v>
      </c>
    </row>
    <row r="3546" spans="1:2" ht="15">
      <c r="A3546" s="77" t="s">
        <v>7269</v>
      </c>
      <c r="B3546" s="76" t="s">
        <v>10945</v>
      </c>
    </row>
    <row r="3547" spans="1:2" ht="15">
      <c r="A3547" s="77" t="s">
        <v>7270</v>
      </c>
      <c r="B3547" s="76" t="s">
        <v>10945</v>
      </c>
    </row>
    <row r="3548" spans="1:2" ht="15">
      <c r="A3548" s="77" t="s">
        <v>7271</v>
      </c>
      <c r="B3548" s="76" t="s">
        <v>10945</v>
      </c>
    </row>
    <row r="3549" spans="1:2" ht="15">
      <c r="A3549" s="77" t="s">
        <v>7272</v>
      </c>
      <c r="B3549" s="76" t="s">
        <v>10945</v>
      </c>
    </row>
    <row r="3550" spans="1:2" ht="15">
      <c r="A3550" s="77" t="s">
        <v>7273</v>
      </c>
      <c r="B3550" s="76" t="s">
        <v>10945</v>
      </c>
    </row>
    <row r="3551" spans="1:2" ht="15">
      <c r="A3551" s="77" t="s">
        <v>7274</v>
      </c>
      <c r="B3551" s="76" t="s">
        <v>10945</v>
      </c>
    </row>
    <row r="3552" spans="1:2" ht="15">
      <c r="A3552" s="77" t="s">
        <v>7275</v>
      </c>
      <c r="B3552" s="76" t="s">
        <v>10945</v>
      </c>
    </row>
    <row r="3553" spans="1:2" ht="15">
      <c r="A3553" s="77" t="s">
        <v>7276</v>
      </c>
      <c r="B3553" s="76" t="s">
        <v>10945</v>
      </c>
    </row>
    <row r="3554" spans="1:2" ht="15">
      <c r="A3554" s="77" t="s">
        <v>7277</v>
      </c>
      <c r="B3554" s="76" t="s">
        <v>10945</v>
      </c>
    </row>
    <row r="3555" spans="1:2" ht="15">
      <c r="A3555" s="77" t="s">
        <v>7278</v>
      </c>
      <c r="B3555" s="76" t="s">
        <v>10945</v>
      </c>
    </row>
    <row r="3556" spans="1:2" ht="15">
      <c r="A3556" s="77" t="s">
        <v>7279</v>
      </c>
      <c r="B3556" s="76" t="s">
        <v>10945</v>
      </c>
    </row>
    <row r="3557" spans="1:2" ht="15">
      <c r="A3557" s="77" t="s">
        <v>7280</v>
      </c>
      <c r="B3557" s="76" t="s">
        <v>10945</v>
      </c>
    </row>
    <row r="3558" spans="1:2" ht="15">
      <c r="A3558" s="77" t="s">
        <v>7281</v>
      </c>
      <c r="B3558" s="76" t="s">
        <v>10945</v>
      </c>
    </row>
    <row r="3559" spans="1:2" ht="15">
      <c r="A3559" s="77" t="s">
        <v>7282</v>
      </c>
      <c r="B3559" s="76" t="s">
        <v>10945</v>
      </c>
    </row>
    <row r="3560" spans="1:2" ht="15">
      <c r="A3560" s="77" t="s">
        <v>7283</v>
      </c>
      <c r="B3560" s="76" t="s">
        <v>10945</v>
      </c>
    </row>
    <row r="3561" spans="1:2" ht="15">
      <c r="A3561" s="77" t="s">
        <v>7284</v>
      </c>
      <c r="B3561" s="76" t="s">
        <v>10945</v>
      </c>
    </row>
    <row r="3562" spans="1:2" ht="15">
      <c r="A3562" s="77" t="s">
        <v>7285</v>
      </c>
      <c r="B3562" s="76" t="s">
        <v>10945</v>
      </c>
    </row>
    <row r="3563" spans="1:2" ht="15">
      <c r="A3563" s="77" t="s">
        <v>7286</v>
      </c>
      <c r="B3563" s="76" t="s">
        <v>10945</v>
      </c>
    </row>
    <row r="3564" spans="1:2" ht="15">
      <c r="A3564" s="77" t="s">
        <v>7287</v>
      </c>
      <c r="B3564" s="76" t="s">
        <v>10945</v>
      </c>
    </row>
    <row r="3565" spans="1:2" ht="15">
      <c r="A3565" s="77" t="s">
        <v>7288</v>
      </c>
      <c r="B3565" s="76" t="s">
        <v>10945</v>
      </c>
    </row>
    <row r="3566" spans="1:2" ht="15">
      <c r="A3566" s="77" t="s">
        <v>7289</v>
      </c>
      <c r="B3566" s="76" t="s">
        <v>10945</v>
      </c>
    </row>
    <row r="3567" spans="1:2" ht="15">
      <c r="A3567" s="77" t="s">
        <v>7290</v>
      </c>
      <c r="B3567" s="76" t="s">
        <v>10945</v>
      </c>
    </row>
    <row r="3568" spans="1:2" ht="15">
      <c r="A3568" s="77" t="s">
        <v>7291</v>
      </c>
      <c r="B3568" s="76" t="s">
        <v>10945</v>
      </c>
    </row>
    <row r="3569" spans="1:2" ht="15">
      <c r="A3569" s="77" t="s">
        <v>7292</v>
      </c>
      <c r="B3569" s="76" t="s">
        <v>10945</v>
      </c>
    </row>
    <row r="3570" spans="1:2" ht="15">
      <c r="A3570" s="77" t="s">
        <v>7293</v>
      </c>
      <c r="B3570" s="76" t="s">
        <v>10945</v>
      </c>
    </row>
    <row r="3571" spans="1:2" ht="15">
      <c r="A3571" s="77" t="s">
        <v>7294</v>
      </c>
      <c r="B3571" s="76" t="s">
        <v>10945</v>
      </c>
    </row>
    <row r="3572" spans="1:2" ht="15">
      <c r="A3572" s="77" t="s">
        <v>7295</v>
      </c>
      <c r="B3572" s="76" t="s">
        <v>10945</v>
      </c>
    </row>
    <row r="3573" spans="1:2" ht="15">
      <c r="A3573" s="77" t="s">
        <v>7296</v>
      </c>
      <c r="B3573" s="76" t="s">
        <v>10945</v>
      </c>
    </row>
    <row r="3574" spans="1:2" ht="15">
      <c r="A3574" s="77" t="s">
        <v>7297</v>
      </c>
      <c r="B3574" s="76" t="s">
        <v>10945</v>
      </c>
    </row>
    <row r="3575" spans="1:2" ht="15">
      <c r="A3575" s="77" t="s">
        <v>7298</v>
      </c>
      <c r="B3575" s="76" t="s">
        <v>10945</v>
      </c>
    </row>
    <row r="3576" spans="1:2" ht="15">
      <c r="A3576" s="77" t="s">
        <v>7299</v>
      </c>
      <c r="B3576" s="76" t="s">
        <v>10945</v>
      </c>
    </row>
    <row r="3577" spans="1:2" ht="15">
      <c r="A3577" s="77" t="s">
        <v>3098</v>
      </c>
      <c r="B3577" s="76" t="s">
        <v>10945</v>
      </c>
    </row>
    <row r="3578" spans="1:2" ht="15">
      <c r="A3578" s="77" t="s">
        <v>7300</v>
      </c>
      <c r="B3578" s="76" t="s">
        <v>10945</v>
      </c>
    </row>
    <row r="3579" spans="1:2" ht="15">
      <c r="A3579" s="77" t="s">
        <v>7301</v>
      </c>
      <c r="B3579" s="76" t="s">
        <v>10945</v>
      </c>
    </row>
    <row r="3580" spans="1:2" ht="15">
      <c r="A3580" s="77" t="s">
        <v>7302</v>
      </c>
      <c r="B3580" s="76" t="s">
        <v>10945</v>
      </c>
    </row>
    <row r="3581" spans="1:2" ht="15">
      <c r="A3581" s="77" t="s">
        <v>7303</v>
      </c>
      <c r="B3581" s="76" t="s">
        <v>10945</v>
      </c>
    </row>
    <row r="3582" spans="1:2" ht="15">
      <c r="A3582" s="77" t="s">
        <v>7304</v>
      </c>
      <c r="B3582" s="76" t="s">
        <v>10945</v>
      </c>
    </row>
    <row r="3583" spans="1:2" ht="15">
      <c r="A3583" s="77" t="s">
        <v>7305</v>
      </c>
      <c r="B3583" s="76" t="s">
        <v>10945</v>
      </c>
    </row>
    <row r="3584" spans="1:2" ht="15">
      <c r="A3584" s="77" t="s">
        <v>7306</v>
      </c>
      <c r="B3584" s="76" t="s">
        <v>10945</v>
      </c>
    </row>
    <row r="3585" spans="1:2" ht="15">
      <c r="A3585" s="77" t="s">
        <v>7307</v>
      </c>
      <c r="B3585" s="76" t="s">
        <v>10945</v>
      </c>
    </row>
    <row r="3586" spans="1:2" ht="15">
      <c r="A3586" s="77" t="s">
        <v>7308</v>
      </c>
      <c r="B3586" s="76" t="s">
        <v>10945</v>
      </c>
    </row>
    <row r="3587" spans="1:2" ht="15">
      <c r="A3587" s="77" t="s">
        <v>7309</v>
      </c>
      <c r="B3587" s="76" t="s">
        <v>10945</v>
      </c>
    </row>
    <row r="3588" spans="1:2" ht="15">
      <c r="A3588" s="77" t="s">
        <v>7310</v>
      </c>
      <c r="B3588" s="76" t="s">
        <v>10945</v>
      </c>
    </row>
    <row r="3589" spans="1:2" ht="15">
      <c r="A3589" s="77" t="s">
        <v>7311</v>
      </c>
      <c r="B3589" s="76" t="s">
        <v>10945</v>
      </c>
    </row>
    <row r="3590" spans="1:2" ht="15">
      <c r="A3590" s="77" t="s">
        <v>7312</v>
      </c>
      <c r="B3590" s="76" t="s">
        <v>10945</v>
      </c>
    </row>
    <row r="3591" spans="1:2" ht="15">
      <c r="A3591" s="77" t="s">
        <v>7313</v>
      </c>
      <c r="B3591" s="76" t="s">
        <v>10945</v>
      </c>
    </row>
    <row r="3592" spans="1:2" ht="15">
      <c r="A3592" s="77" t="s">
        <v>7314</v>
      </c>
      <c r="B3592" s="76" t="s">
        <v>10945</v>
      </c>
    </row>
    <row r="3593" spans="1:2" ht="15">
      <c r="A3593" s="77" t="s">
        <v>7315</v>
      </c>
      <c r="B3593" s="76" t="s">
        <v>10945</v>
      </c>
    </row>
    <row r="3594" spans="1:2" ht="15">
      <c r="A3594" s="77" t="s">
        <v>7316</v>
      </c>
      <c r="B3594" s="76" t="s">
        <v>10945</v>
      </c>
    </row>
    <row r="3595" spans="1:2" ht="15">
      <c r="A3595" s="77" t="s">
        <v>7317</v>
      </c>
      <c r="B3595" s="76" t="s">
        <v>10945</v>
      </c>
    </row>
    <row r="3596" spans="1:2" ht="15">
      <c r="A3596" s="77" t="s">
        <v>7318</v>
      </c>
      <c r="B3596" s="76" t="s">
        <v>10945</v>
      </c>
    </row>
    <row r="3597" spans="1:2" ht="15">
      <c r="A3597" s="77" t="s">
        <v>7319</v>
      </c>
      <c r="B3597" s="76" t="s">
        <v>10945</v>
      </c>
    </row>
    <row r="3598" spans="1:2" ht="15">
      <c r="A3598" s="77" t="s">
        <v>7320</v>
      </c>
      <c r="B3598" s="76" t="s">
        <v>10945</v>
      </c>
    </row>
    <row r="3599" spans="1:2" ht="15">
      <c r="A3599" s="77" t="s">
        <v>3487</v>
      </c>
      <c r="B3599" s="76" t="s">
        <v>10945</v>
      </c>
    </row>
    <row r="3600" spans="1:2" ht="15">
      <c r="A3600" s="77" t="s">
        <v>7321</v>
      </c>
      <c r="B3600" s="76" t="s">
        <v>10945</v>
      </c>
    </row>
    <row r="3601" spans="1:2" ht="15">
      <c r="A3601" s="77" t="s">
        <v>3426</v>
      </c>
      <c r="B3601" s="76" t="s">
        <v>10945</v>
      </c>
    </row>
    <row r="3602" spans="1:2" ht="15">
      <c r="A3602" s="77" t="s">
        <v>7322</v>
      </c>
      <c r="B3602" s="76" t="s">
        <v>10945</v>
      </c>
    </row>
    <row r="3603" spans="1:2" ht="15">
      <c r="A3603" s="77" t="s">
        <v>3234</v>
      </c>
      <c r="B3603" s="76" t="s">
        <v>10945</v>
      </c>
    </row>
    <row r="3604" spans="1:2" ht="15">
      <c r="A3604" s="77" t="s">
        <v>7323</v>
      </c>
      <c r="B3604" s="76" t="s">
        <v>10945</v>
      </c>
    </row>
    <row r="3605" spans="1:2" ht="15">
      <c r="A3605" s="77" t="s">
        <v>7324</v>
      </c>
      <c r="B3605" s="76" t="s">
        <v>10945</v>
      </c>
    </row>
    <row r="3606" spans="1:2" ht="15">
      <c r="A3606" s="77" t="s">
        <v>7325</v>
      </c>
      <c r="B3606" s="76" t="s">
        <v>10945</v>
      </c>
    </row>
    <row r="3607" spans="1:2" ht="15">
      <c r="A3607" s="77" t="s">
        <v>7326</v>
      </c>
      <c r="B3607" s="76" t="s">
        <v>10945</v>
      </c>
    </row>
    <row r="3608" spans="1:2" ht="15">
      <c r="A3608" s="77" t="s">
        <v>7327</v>
      </c>
      <c r="B3608" s="76" t="s">
        <v>10945</v>
      </c>
    </row>
    <row r="3609" spans="1:2" ht="15">
      <c r="A3609" s="77" t="s">
        <v>7328</v>
      </c>
      <c r="B3609" s="76" t="s">
        <v>10945</v>
      </c>
    </row>
    <row r="3610" spans="1:2" ht="15">
      <c r="A3610" s="77" t="s">
        <v>7329</v>
      </c>
      <c r="B3610" s="76" t="s">
        <v>10945</v>
      </c>
    </row>
    <row r="3611" spans="1:2" ht="15">
      <c r="A3611" s="77" t="s">
        <v>7330</v>
      </c>
      <c r="B3611" s="76" t="s">
        <v>10945</v>
      </c>
    </row>
    <row r="3612" spans="1:2" ht="15">
      <c r="A3612" s="77" t="s">
        <v>7331</v>
      </c>
      <c r="B3612" s="76" t="s">
        <v>10945</v>
      </c>
    </row>
    <row r="3613" spans="1:2" ht="15">
      <c r="A3613" s="77" t="s">
        <v>7332</v>
      </c>
      <c r="B3613" s="76" t="s">
        <v>10945</v>
      </c>
    </row>
    <row r="3614" spans="1:2" ht="15">
      <c r="A3614" s="77" t="s">
        <v>7333</v>
      </c>
      <c r="B3614" s="76" t="s">
        <v>10945</v>
      </c>
    </row>
    <row r="3615" spans="1:2" ht="15">
      <c r="A3615" s="77" t="s">
        <v>7334</v>
      </c>
      <c r="B3615" s="76" t="s">
        <v>10945</v>
      </c>
    </row>
    <row r="3616" spans="1:2" ht="15">
      <c r="A3616" s="77" t="s">
        <v>3482</v>
      </c>
      <c r="B3616" s="76" t="s">
        <v>10945</v>
      </c>
    </row>
    <row r="3617" spans="1:2" ht="15">
      <c r="A3617" s="77" t="s">
        <v>7335</v>
      </c>
      <c r="B3617" s="76" t="s">
        <v>10945</v>
      </c>
    </row>
    <row r="3618" spans="1:2" ht="15">
      <c r="A3618" s="77" t="s">
        <v>7336</v>
      </c>
      <c r="B3618" s="76" t="s">
        <v>10945</v>
      </c>
    </row>
    <row r="3619" spans="1:2" ht="15">
      <c r="A3619" s="77" t="s">
        <v>7337</v>
      </c>
      <c r="B3619" s="76" t="s">
        <v>10945</v>
      </c>
    </row>
    <row r="3620" spans="1:2" ht="15">
      <c r="A3620" s="77" t="s">
        <v>7338</v>
      </c>
      <c r="B3620" s="76" t="s">
        <v>10945</v>
      </c>
    </row>
    <row r="3621" spans="1:2" ht="15">
      <c r="A3621" s="77" t="s">
        <v>7339</v>
      </c>
      <c r="B3621" s="76" t="s">
        <v>10945</v>
      </c>
    </row>
    <row r="3622" spans="1:2" ht="15">
      <c r="A3622" s="77" t="s">
        <v>7340</v>
      </c>
      <c r="B3622" s="76" t="s">
        <v>10945</v>
      </c>
    </row>
    <row r="3623" spans="1:2" ht="15">
      <c r="A3623" s="77" t="s">
        <v>7341</v>
      </c>
      <c r="B3623" s="76" t="s">
        <v>10945</v>
      </c>
    </row>
    <row r="3624" spans="1:2" ht="15">
      <c r="A3624" s="77" t="s">
        <v>7342</v>
      </c>
      <c r="B3624" s="76" t="s">
        <v>10945</v>
      </c>
    </row>
    <row r="3625" spans="1:2" ht="15">
      <c r="A3625" s="77" t="s">
        <v>3149</v>
      </c>
      <c r="B3625" s="76" t="s">
        <v>10945</v>
      </c>
    </row>
    <row r="3626" spans="1:2" ht="15">
      <c r="A3626" s="77" t="s">
        <v>7343</v>
      </c>
      <c r="B3626" s="76" t="s">
        <v>10945</v>
      </c>
    </row>
    <row r="3627" spans="1:2" ht="15">
      <c r="A3627" s="77" t="s">
        <v>7344</v>
      </c>
      <c r="B3627" s="76" t="s">
        <v>10945</v>
      </c>
    </row>
    <row r="3628" spans="1:2" ht="15">
      <c r="A3628" s="77" t="s">
        <v>7345</v>
      </c>
      <c r="B3628" s="76" t="s">
        <v>10945</v>
      </c>
    </row>
    <row r="3629" spans="1:2" ht="15">
      <c r="A3629" s="77" t="s">
        <v>7346</v>
      </c>
      <c r="B3629" s="76" t="s">
        <v>10945</v>
      </c>
    </row>
    <row r="3630" spans="1:2" ht="15">
      <c r="A3630" s="77" t="s">
        <v>7347</v>
      </c>
      <c r="B3630" s="76" t="s">
        <v>10945</v>
      </c>
    </row>
    <row r="3631" spans="1:2" ht="15">
      <c r="A3631" s="77" t="s">
        <v>7348</v>
      </c>
      <c r="B3631" s="76" t="s">
        <v>10945</v>
      </c>
    </row>
    <row r="3632" spans="1:2" ht="15">
      <c r="A3632" s="77" t="s">
        <v>7349</v>
      </c>
      <c r="B3632" s="76" t="s">
        <v>10945</v>
      </c>
    </row>
    <row r="3633" spans="1:2" ht="15">
      <c r="A3633" s="77" t="s">
        <v>7350</v>
      </c>
      <c r="B3633" s="76" t="s">
        <v>10945</v>
      </c>
    </row>
    <row r="3634" spans="1:2" ht="15">
      <c r="A3634" s="77" t="s">
        <v>7351</v>
      </c>
      <c r="B3634" s="76" t="s">
        <v>10945</v>
      </c>
    </row>
    <row r="3635" spans="1:2" ht="15">
      <c r="A3635" s="77" t="s">
        <v>7352</v>
      </c>
      <c r="B3635" s="76" t="s">
        <v>10945</v>
      </c>
    </row>
    <row r="3636" spans="1:2" ht="15">
      <c r="A3636" s="77" t="s">
        <v>7353</v>
      </c>
      <c r="B3636" s="76" t="s">
        <v>10945</v>
      </c>
    </row>
    <row r="3637" spans="1:2" ht="15">
      <c r="A3637" s="77" t="s">
        <v>7354</v>
      </c>
      <c r="B3637" s="76" t="s">
        <v>10945</v>
      </c>
    </row>
    <row r="3638" spans="1:2" ht="15">
      <c r="A3638" s="77" t="s">
        <v>7355</v>
      </c>
      <c r="B3638" s="76" t="s">
        <v>10945</v>
      </c>
    </row>
    <row r="3639" spans="1:2" ht="15">
      <c r="A3639" s="77" t="s">
        <v>7356</v>
      </c>
      <c r="B3639" s="76" t="s">
        <v>10945</v>
      </c>
    </row>
    <row r="3640" spans="1:2" ht="15">
      <c r="A3640" s="77" t="s">
        <v>7357</v>
      </c>
      <c r="B3640" s="76" t="s">
        <v>10945</v>
      </c>
    </row>
    <row r="3641" spans="1:2" ht="15">
      <c r="A3641" s="77" t="s">
        <v>7358</v>
      </c>
      <c r="B3641" s="76" t="s">
        <v>10945</v>
      </c>
    </row>
    <row r="3642" spans="1:2" ht="15">
      <c r="A3642" s="77" t="s">
        <v>7359</v>
      </c>
      <c r="B3642" s="76" t="s">
        <v>10945</v>
      </c>
    </row>
    <row r="3643" spans="1:2" ht="15">
      <c r="A3643" s="77" t="s">
        <v>7360</v>
      </c>
      <c r="B3643" s="76" t="s">
        <v>10945</v>
      </c>
    </row>
    <row r="3644" spans="1:2" ht="15">
      <c r="A3644" s="77" t="s">
        <v>7361</v>
      </c>
      <c r="B3644" s="76" t="s">
        <v>10945</v>
      </c>
    </row>
    <row r="3645" spans="1:2" ht="15">
      <c r="A3645" s="77" t="s">
        <v>7362</v>
      </c>
      <c r="B3645" s="76" t="s">
        <v>10945</v>
      </c>
    </row>
    <row r="3646" spans="1:2" ht="15">
      <c r="A3646" s="77" t="s">
        <v>3128</v>
      </c>
      <c r="B3646" s="76" t="s">
        <v>10945</v>
      </c>
    </row>
    <row r="3647" spans="1:2" ht="15">
      <c r="A3647" s="77" t="s">
        <v>3337</v>
      </c>
      <c r="B3647" s="76" t="s">
        <v>10945</v>
      </c>
    </row>
    <row r="3648" spans="1:2" ht="15">
      <c r="A3648" s="77" t="s">
        <v>7363</v>
      </c>
      <c r="B3648" s="76" t="s">
        <v>10945</v>
      </c>
    </row>
    <row r="3649" spans="1:2" ht="15">
      <c r="A3649" s="77" t="s">
        <v>7364</v>
      </c>
      <c r="B3649" s="76" t="s">
        <v>10945</v>
      </c>
    </row>
    <row r="3650" spans="1:2" ht="15">
      <c r="A3650" s="77" t="s">
        <v>7365</v>
      </c>
      <c r="B3650" s="76" t="s">
        <v>10945</v>
      </c>
    </row>
    <row r="3651" spans="1:2" ht="15">
      <c r="A3651" s="77" t="s">
        <v>7366</v>
      </c>
      <c r="B3651" s="76" t="s">
        <v>10945</v>
      </c>
    </row>
    <row r="3652" spans="1:2" ht="15">
      <c r="A3652" s="77" t="s">
        <v>7367</v>
      </c>
      <c r="B3652" s="76" t="s">
        <v>10945</v>
      </c>
    </row>
    <row r="3653" spans="1:2" ht="15">
      <c r="A3653" s="77" t="s">
        <v>7368</v>
      </c>
      <c r="B3653" s="76" t="s">
        <v>10945</v>
      </c>
    </row>
    <row r="3654" spans="1:2" ht="15">
      <c r="A3654" s="77" t="s">
        <v>7369</v>
      </c>
      <c r="B3654" s="76" t="s">
        <v>10945</v>
      </c>
    </row>
    <row r="3655" spans="1:2" ht="15">
      <c r="A3655" s="77" t="s">
        <v>7370</v>
      </c>
      <c r="B3655" s="76" t="s">
        <v>10945</v>
      </c>
    </row>
    <row r="3656" spans="1:2" ht="15">
      <c r="A3656" s="77" t="s">
        <v>7371</v>
      </c>
      <c r="B3656" s="76" t="s">
        <v>10945</v>
      </c>
    </row>
    <row r="3657" spans="1:2" ht="15">
      <c r="A3657" s="77" t="s">
        <v>7372</v>
      </c>
      <c r="B3657" s="76" t="s">
        <v>10945</v>
      </c>
    </row>
    <row r="3658" spans="1:2" ht="15">
      <c r="A3658" s="77" t="s">
        <v>2672</v>
      </c>
      <c r="B3658" s="76" t="s">
        <v>10945</v>
      </c>
    </row>
    <row r="3659" spans="1:2" ht="15">
      <c r="A3659" s="77" t="s">
        <v>7373</v>
      </c>
      <c r="B3659" s="76" t="s">
        <v>10945</v>
      </c>
    </row>
    <row r="3660" spans="1:2" ht="15">
      <c r="A3660" s="77" t="s">
        <v>7374</v>
      </c>
      <c r="B3660" s="76" t="s">
        <v>10945</v>
      </c>
    </row>
    <row r="3661" spans="1:2" ht="15">
      <c r="A3661" s="77" t="s">
        <v>7375</v>
      </c>
      <c r="B3661" s="76" t="s">
        <v>10945</v>
      </c>
    </row>
    <row r="3662" spans="1:2" ht="15">
      <c r="A3662" s="77" t="s">
        <v>7376</v>
      </c>
      <c r="B3662" s="76" t="s">
        <v>10945</v>
      </c>
    </row>
    <row r="3663" spans="1:2" ht="15">
      <c r="A3663" s="77" t="s">
        <v>7377</v>
      </c>
      <c r="B3663" s="76" t="s">
        <v>10945</v>
      </c>
    </row>
    <row r="3664" spans="1:2" ht="15">
      <c r="A3664" s="77" t="s">
        <v>7378</v>
      </c>
      <c r="B3664" s="76" t="s">
        <v>10945</v>
      </c>
    </row>
    <row r="3665" spans="1:2" ht="15">
      <c r="A3665" s="77" t="s">
        <v>7379</v>
      </c>
      <c r="B3665" s="76" t="s">
        <v>10945</v>
      </c>
    </row>
    <row r="3666" spans="1:2" ht="15">
      <c r="A3666" s="77" t="s">
        <v>7380</v>
      </c>
      <c r="B3666" s="76" t="s">
        <v>10945</v>
      </c>
    </row>
    <row r="3667" spans="1:2" ht="15">
      <c r="A3667" s="77" t="s">
        <v>7381</v>
      </c>
      <c r="B3667" s="76" t="s">
        <v>10945</v>
      </c>
    </row>
    <row r="3668" spans="1:2" ht="15">
      <c r="A3668" s="77" t="s">
        <v>7382</v>
      </c>
      <c r="B3668" s="76" t="s">
        <v>10945</v>
      </c>
    </row>
    <row r="3669" spans="1:2" ht="15">
      <c r="A3669" s="77" t="s">
        <v>7383</v>
      </c>
      <c r="B3669" s="76" t="s">
        <v>10945</v>
      </c>
    </row>
    <row r="3670" spans="1:2" ht="15">
      <c r="A3670" s="77" t="s">
        <v>7384</v>
      </c>
      <c r="B3670" s="76" t="s">
        <v>10945</v>
      </c>
    </row>
    <row r="3671" spans="1:2" ht="15">
      <c r="A3671" s="77" t="s">
        <v>7385</v>
      </c>
      <c r="B3671" s="76" t="s">
        <v>10945</v>
      </c>
    </row>
    <row r="3672" spans="1:2" ht="15">
      <c r="A3672" s="77" t="s">
        <v>7386</v>
      </c>
      <c r="B3672" s="76" t="s">
        <v>10945</v>
      </c>
    </row>
    <row r="3673" spans="1:2" ht="15">
      <c r="A3673" s="77" t="s">
        <v>7387</v>
      </c>
      <c r="B3673" s="76" t="s">
        <v>10945</v>
      </c>
    </row>
    <row r="3674" spans="1:2" ht="15">
      <c r="A3674" s="77" t="s">
        <v>7388</v>
      </c>
      <c r="B3674" s="76" t="s">
        <v>10945</v>
      </c>
    </row>
    <row r="3675" spans="1:2" ht="15">
      <c r="A3675" s="77" t="s">
        <v>7389</v>
      </c>
      <c r="B3675" s="76" t="s">
        <v>10945</v>
      </c>
    </row>
    <row r="3676" spans="1:2" ht="15">
      <c r="A3676" s="77" t="s">
        <v>7390</v>
      </c>
      <c r="B3676" s="76" t="s">
        <v>10945</v>
      </c>
    </row>
    <row r="3677" spans="1:2" ht="15">
      <c r="A3677" s="77" t="s">
        <v>7391</v>
      </c>
      <c r="B3677" s="76" t="s">
        <v>10945</v>
      </c>
    </row>
    <row r="3678" spans="1:2" ht="15">
      <c r="A3678" s="77" t="s">
        <v>7392</v>
      </c>
      <c r="B3678" s="76" t="s">
        <v>10945</v>
      </c>
    </row>
    <row r="3679" spans="1:2" ht="15">
      <c r="A3679" s="77" t="s">
        <v>7393</v>
      </c>
      <c r="B3679" s="76" t="s">
        <v>10945</v>
      </c>
    </row>
    <row r="3680" spans="1:2" ht="15">
      <c r="A3680" s="77" t="s">
        <v>7394</v>
      </c>
      <c r="B3680" s="76" t="s">
        <v>10945</v>
      </c>
    </row>
    <row r="3681" spans="1:2" ht="15">
      <c r="A3681" s="77" t="s">
        <v>7395</v>
      </c>
      <c r="B3681" s="76" t="s">
        <v>10945</v>
      </c>
    </row>
    <row r="3682" spans="1:2" ht="15">
      <c r="A3682" s="77" t="s">
        <v>7396</v>
      </c>
      <c r="B3682" s="76" t="s">
        <v>10945</v>
      </c>
    </row>
    <row r="3683" spans="1:2" ht="15">
      <c r="A3683" s="77" t="s">
        <v>7397</v>
      </c>
      <c r="B3683" s="76" t="s">
        <v>10945</v>
      </c>
    </row>
    <row r="3684" spans="1:2" ht="15">
      <c r="A3684" s="77" t="s">
        <v>7398</v>
      </c>
      <c r="B3684" s="76" t="s">
        <v>10945</v>
      </c>
    </row>
    <row r="3685" spans="1:2" ht="15">
      <c r="A3685" s="77" t="s">
        <v>7399</v>
      </c>
      <c r="B3685" s="76" t="s">
        <v>10945</v>
      </c>
    </row>
    <row r="3686" spans="1:2" ht="15">
      <c r="A3686" s="77" t="s">
        <v>7400</v>
      </c>
      <c r="B3686" s="76" t="s">
        <v>10945</v>
      </c>
    </row>
    <row r="3687" spans="1:2" ht="15">
      <c r="A3687" s="77" t="s">
        <v>7401</v>
      </c>
      <c r="B3687" s="76" t="s">
        <v>10945</v>
      </c>
    </row>
    <row r="3688" spans="1:2" ht="15">
      <c r="A3688" s="77" t="s">
        <v>7402</v>
      </c>
      <c r="B3688" s="76" t="s">
        <v>10945</v>
      </c>
    </row>
    <row r="3689" spans="1:2" ht="15">
      <c r="A3689" s="77" t="s">
        <v>7403</v>
      </c>
      <c r="B3689" s="76" t="s">
        <v>10945</v>
      </c>
    </row>
    <row r="3690" spans="1:2" ht="15">
      <c r="A3690" s="77" t="s">
        <v>7404</v>
      </c>
      <c r="B3690" s="76" t="s">
        <v>10945</v>
      </c>
    </row>
    <row r="3691" spans="1:2" ht="15">
      <c r="A3691" s="77" t="s">
        <v>7405</v>
      </c>
      <c r="B3691" s="76" t="s">
        <v>10945</v>
      </c>
    </row>
    <row r="3692" spans="1:2" ht="15">
      <c r="A3692" s="77" t="s">
        <v>7406</v>
      </c>
      <c r="B3692" s="76" t="s">
        <v>10945</v>
      </c>
    </row>
    <row r="3693" spans="1:2" ht="15">
      <c r="A3693" s="77" t="s">
        <v>7407</v>
      </c>
      <c r="B3693" s="76" t="s">
        <v>10945</v>
      </c>
    </row>
    <row r="3694" spans="1:2" ht="15">
      <c r="A3694" s="77" t="s">
        <v>7408</v>
      </c>
      <c r="B3694" s="76" t="s">
        <v>10945</v>
      </c>
    </row>
    <row r="3695" spans="1:2" ht="15">
      <c r="A3695" s="77" t="s">
        <v>7409</v>
      </c>
      <c r="B3695" s="76" t="s">
        <v>10945</v>
      </c>
    </row>
    <row r="3696" spans="1:2" ht="15">
      <c r="A3696" s="77" t="s">
        <v>7410</v>
      </c>
      <c r="B3696" s="76" t="s">
        <v>10945</v>
      </c>
    </row>
    <row r="3697" spans="1:2" ht="15">
      <c r="A3697" s="77" t="s">
        <v>7411</v>
      </c>
      <c r="B3697" s="76" t="s">
        <v>10945</v>
      </c>
    </row>
    <row r="3698" spans="1:2" ht="15">
      <c r="A3698" s="77" t="s">
        <v>7412</v>
      </c>
      <c r="B3698" s="76" t="s">
        <v>10945</v>
      </c>
    </row>
    <row r="3699" spans="1:2" ht="15">
      <c r="A3699" s="77" t="s">
        <v>7413</v>
      </c>
      <c r="B3699" s="76" t="s">
        <v>10945</v>
      </c>
    </row>
    <row r="3700" spans="1:2" ht="15">
      <c r="A3700" s="77" t="s">
        <v>7414</v>
      </c>
      <c r="B3700" s="76" t="s">
        <v>10945</v>
      </c>
    </row>
    <row r="3701" spans="1:2" ht="15">
      <c r="A3701" s="77" t="s">
        <v>7415</v>
      </c>
      <c r="B3701" s="76" t="s">
        <v>10945</v>
      </c>
    </row>
    <row r="3702" spans="1:2" ht="15">
      <c r="A3702" s="77" t="s">
        <v>7416</v>
      </c>
      <c r="B3702" s="76" t="s">
        <v>10945</v>
      </c>
    </row>
    <row r="3703" spans="1:2" ht="15">
      <c r="A3703" s="77" t="s">
        <v>7417</v>
      </c>
      <c r="B3703" s="76" t="s">
        <v>10945</v>
      </c>
    </row>
    <row r="3704" spans="1:2" ht="15">
      <c r="A3704" s="77" t="s">
        <v>7418</v>
      </c>
      <c r="B3704" s="76" t="s">
        <v>10945</v>
      </c>
    </row>
    <row r="3705" spans="1:2" ht="15">
      <c r="A3705" s="77" t="s">
        <v>7419</v>
      </c>
      <c r="B3705" s="76" t="s">
        <v>10945</v>
      </c>
    </row>
    <row r="3706" spans="1:2" ht="15">
      <c r="A3706" s="77" t="s">
        <v>7420</v>
      </c>
      <c r="B3706" s="76" t="s">
        <v>10945</v>
      </c>
    </row>
    <row r="3707" spans="1:2" ht="15">
      <c r="A3707" s="77" t="s">
        <v>7421</v>
      </c>
      <c r="B3707" s="76" t="s">
        <v>10945</v>
      </c>
    </row>
    <row r="3708" spans="1:2" ht="15">
      <c r="A3708" s="77" t="s">
        <v>7422</v>
      </c>
      <c r="B3708" s="76" t="s">
        <v>10945</v>
      </c>
    </row>
    <row r="3709" spans="1:2" ht="15">
      <c r="A3709" s="77" t="s">
        <v>7423</v>
      </c>
      <c r="B3709" s="76" t="s">
        <v>10945</v>
      </c>
    </row>
    <row r="3710" spans="1:2" ht="15">
      <c r="A3710" s="77" t="s">
        <v>7424</v>
      </c>
      <c r="B3710" s="76" t="s">
        <v>10945</v>
      </c>
    </row>
    <row r="3711" spans="1:2" ht="15">
      <c r="A3711" s="77" t="s">
        <v>7425</v>
      </c>
      <c r="B3711" s="76" t="s">
        <v>10945</v>
      </c>
    </row>
    <row r="3712" spans="1:2" ht="15">
      <c r="A3712" s="77" t="s">
        <v>7426</v>
      </c>
      <c r="B3712" s="76" t="s">
        <v>10945</v>
      </c>
    </row>
    <row r="3713" spans="1:2" ht="15">
      <c r="A3713" s="77" t="s">
        <v>7427</v>
      </c>
      <c r="B3713" s="76" t="s">
        <v>10945</v>
      </c>
    </row>
    <row r="3714" spans="1:2" ht="15">
      <c r="A3714" s="77" t="s">
        <v>7428</v>
      </c>
      <c r="B3714" s="76" t="s">
        <v>10945</v>
      </c>
    </row>
    <row r="3715" spans="1:2" ht="15">
      <c r="A3715" s="77" t="s">
        <v>7429</v>
      </c>
      <c r="B3715" s="76" t="s">
        <v>10945</v>
      </c>
    </row>
    <row r="3716" spans="1:2" ht="15">
      <c r="A3716" s="77" t="s">
        <v>7430</v>
      </c>
      <c r="B3716" s="76" t="s">
        <v>10945</v>
      </c>
    </row>
    <row r="3717" spans="1:2" ht="15">
      <c r="A3717" s="77" t="s">
        <v>7431</v>
      </c>
      <c r="B3717" s="76" t="s">
        <v>10945</v>
      </c>
    </row>
    <row r="3718" spans="1:2" ht="15">
      <c r="A3718" s="77" t="s">
        <v>2960</v>
      </c>
      <c r="B3718" s="76" t="s">
        <v>10945</v>
      </c>
    </row>
    <row r="3719" spans="1:2" ht="15">
      <c r="A3719" s="77" t="s">
        <v>7432</v>
      </c>
      <c r="B3719" s="76" t="s">
        <v>10945</v>
      </c>
    </row>
    <row r="3720" spans="1:2" ht="15">
      <c r="A3720" s="77" t="s">
        <v>7433</v>
      </c>
      <c r="B3720" s="76" t="s">
        <v>10945</v>
      </c>
    </row>
    <row r="3721" spans="1:2" ht="15">
      <c r="A3721" s="77" t="s">
        <v>7434</v>
      </c>
      <c r="B3721" s="76" t="s">
        <v>10945</v>
      </c>
    </row>
    <row r="3722" spans="1:2" ht="15">
      <c r="A3722" s="77" t="s">
        <v>7435</v>
      </c>
      <c r="B3722" s="76" t="s">
        <v>10945</v>
      </c>
    </row>
    <row r="3723" spans="1:2" ht="15">
      <c r="A3723" s="77" t="s">
        <v>7436</v>
      </c>
      <c r="B3723" s="76" t="s">
        <v>10945</v>
      </c>
    </row>
    <row r="3724" spans="1:2" ht="15">
      <c r="A3724" s="77" t="s">
        <v>7437</v>
      </c>
      <c r="B3724" s="76" t="s">
        <v>10945</v>
      </c>
    </row>
    <row r="3725" spans="1:2" ht="15">
      <c r="A3725" s="77" t="s">
        <v>7438</v>
      </c>
      <c r="B3725" s="76" t="s">
        <v>10945</v>
      </c>
    </row>
    <row r="3726" spans="1:2" ht="15">
      <c r="A3726" s="77" t="s">
        <v>7439</v>
      </c>
      <c r="B3726" s="76" t="s">
        <v>10945</v>
      </c>
    </row>
    <row r="3727" spans="1:2" ht="15">
      <c r="A3727" s="77" t="s">
        <v>7440</v>
      </c>
      <c r="B3727" s="76" t="s">
        <v>10945</v>
      </c>
    </row>
    <row r="3728" spans="1:2" ht="15">
      <c r="A3728" s="77" t="s">
        <v>7441</v>
      </c>
      <c r="B3728" s="76" t="s">
        <v>10945</v>
      </c>
    </row>
    <row r="3729" spans="1:2" ht="15">
      <c r="A3729" s="77" t="s">
        <v>7442</v>
      </c>
      <c r="B3729" s="76" t="s">
        <v>10945</v>
      </c>
    </row>
    <row r="3730" spans="1:2" ht="15">
      <c r="A3730" s="77" t="s">
        <v>7443</v>
      </c>
      <c r="B3730" s="76" t="s">
        <v>10945</v>
      </c>
    </row>
    <row r="3731" spans="1:2" ht="15">
      <c r="A3731" s="77" t="s">
        <v>7444</v>
      </c>
      <c r="B3731" s="76" t="s">
        <v>10945</v>
      </c>
    </row>
    <row r="3732" spans="1:2" ht="15">
      <c r="A3732" s="77" t="s">
        <v>7445</v>
      </c>
      <c r="B3732" s="76" t="s">
        <v>10945</v>
      </c>
    </row>
    <row r="3733" spans="1:2" ht="15">
      <c r="A3733" s="77" t="s">
        <v>7446</v>
      </c>
      <c r="B3733" s="76" t="s">
        <v>10945</v>
      </c>
    </row>
    <row r="3734" spans="1:2" ht="15">
      <c r="A3734" s="77" t="s">
        <v>7447</v>
      </c>
      <c r="B3734" s="76" t="s">
        <v>10945</v>
      </c>
    </row>
    <row r="3735" spans="1:2" ht="15">
      <c r="A3735" s="77" t="s">
        <v>7448</v>
      </c>
      <c r="B3735" s="76" t="s">
        <v>10945</v>
      </c>
    </row>
    <row r="3736" spans="1:2" ht="15">
      <c r="A3736" s="77" t="s">
        <v>7449</v>
      </c>
      <c r="B3736" s="76" t="s">
        <v>10945</v>
      </c>
    </row>
    <row r="3737" spans="1:2" ht="15">
      <c r="A3737" s="77" t="s">
        <v>7450</v>
      </c>
      <c r="B3737" s="76" t="s">
        <v>10945</v>
      </c>
    </row>
    <row r="3738" spans="1:2" ht="15">
      <c r="A3738" s="77" t="s">
        <v>7451</v>
      </c>
      <c r="B3738" s="76" t="s">
        <v>10945</v>
      </c>
    </row>
    <row r="3739" spans="1:2" ht="15">
      <c r="A3739" s="77" t="s">
        <v>7452</v>
      </c>
      <c r="B3739" s="76" t="s">
        <v>10945</v>
      </c>
    </row>
    <row r="3740" spans="1:2" ht="15">
      <c r="A3740" s="77" t="s">
        <v>7453</v>
      </c>
      <c r="B3740" s="76" t="s">
        <v>10945</v>
      </c>
    </row>
    <row r="3741" spans="1:2" ht="15">
      <c r="A3741" s="77" t="s">
        <v>7454</v>
      </c>
      <c r="B3741" s="76" t="s">
        <v>10945</v>
      </c>
    </row>
    <row r="3742" spans="1:2" ht="15">
      <c r="A3742" s="77" t="s">
        <v>7455</v>
      </c>
      <c r="B3742" s="76" t="s">
        <v>10945</v>
      </c>
    </row>
    <row r="3743" spans="1:2" ht="15">
      <c r="A3743" s="77" t="s">
        <v>7456</v>
      </c>
      <c r="B3743" s="76" t="s">
        <v>10945</v>
      </c>
    </row>
    <row r="3744" spans="1:2" ht="15">
      <c r="A3744" s="77" t="s">
        <v>7457</v>
      </c>
      <c r="B3744" s="76" t="s">
        <v>10945</v>
      </c>
    </row>
    <row r="3745" spans="1:2" ht="15">
      <c r="A3745" s="77" t="s">
        <v>7458</v>
      </c>
      <c r="B3745" s="76" t="s">
        <v>10945</v>
      </c>
    </row>
    <row r="3746" spans="1:2" ht="15">
      <c r="A3746" s="77" t="s">
        <v>7459</v>
      </c>
      <c r="B3746" s="76" t="s">
        <v>10945</v>
      </c>
    </row>
    <row r="3747" spans="1:2" ht="15">
      <c r="A3747" s="77" t="s">
        <v>7460</v>
      </c>
      <c r="B3747" s="76" t="s">
        <v>10945</v>
      </c>
    </row>
    <row r="3748" spans="1:2" ht="15">
      <c r="A3748" s="77" t="s">
        <v>7461</v>
      </c>
      <c r="B3748" s="76" t="s">
        <v>10945</v>
      </c>
    </row>
    <row r="3749" spans="1:2" ht="15">
      <c r="A3749" s="77" t="s">
        <v>7462</v>
      </c>
      <c r="B3749" s="76" t="s">
        <v>10945</v>
      </c>
    </row>
    <row r="3750" spans="1:2" ht="15">
      <c r="A3750" s="77" t="s">
        <v>7463</v>
      </c>
      <c r="B3750" s="76" t="s">
        <v>10945</v>
      </c>
    </row>
    <row r="3751" spans="1:2" ht="15">
      <c r="A3751" s="77" t="s">
        <v>7464</v>
      </c>
      <c r="B3751" s="76" t="s">
        <v>10945</v>
      </c>
    </row>
    <row r="3752" spans="1:2" ht="15">
      <c r="A3752" s="77" t="s">
        <v>7465</v>
      </c>
      <c r="B3752" s="76" t="s">
        <v>10945</v>
      </c>
    </row>
    <row r="3753" spans="1:2" ht="15">
      <c r="A3753" s="77" t="s">
        <v>7466</v>
      </c>
      <c r="B3753" s="76" t="s">
        <v>10945</v>
      </c>
    </row>
    <row r="3754" spans="1:2" ht="15">
      <c r="A3754" s="77" t="s">
        <v>7467</v>
      </c>
      <c r="B3754" s="76" t="s">
        <v>10945</v>
      </c>
    </row>
    <row r="3755" spans="1:2" ht="15">
      <c r="A3755" s="77" t="s">
        <v>7468</v>
      </c>
      <c r="B3755" s="76" t="s">
        <v>10945</v>
      </c>
    </row>
    <row r="3756" spans="1:2" ht="15">
      <c r="A3756" s="77" t="s">
        <v>7469</v>
      </c>
      <c r="B3756" s="76" t="s">
        <v>10945</v>
      </c>
    </row>
    <row r="3757" spans="1:2" ht="15">
      <c r="A3757" s="77" t="s">
        <v>7470</v>
      </c>
      <c r="B3757" s="76" t="s">
        <v>10945</v>
      </c>
    </row>
    <row r="3758" spans="1:2" ht="15">
      <c r="A3758" s="77" t="s">
        <v>7471</v>
      </c>
      <c r="B3758" s="76" t="s">
        <v>10945</v>
      </c>
    </row>
    <row r="3759" spans="1:2" ht="15">
      <c r="A3759" s="77" t="s">
        <v>7472</v>
      </c>
      <c r="B3759" s="76" t="s">
        <v>10945</v>
      </c>
    </row>
    <row r="3760" spans="1:2" ht="15">
      <c r="A3760" s="77" t="s">
        <v>7473</v>
      </c>
      <c r="B3760" s="76" t="s">
        <v>10945</v>
      </c>
    </row>
    <row r="3761" spans="1:2" ht="15">
      <c r="A3761" s="77" t="s">
        <v>7474</v>
      </c>
      <c r="B3761" s="76" t="s">
        <v>10945</v>
      </c>
    </row>
    <row r="3762" spans="1:2" ht="15">
      <c r="A3762" s="77" t="s">
        <v>7475</v>
      </c>
      <c r="B3762" s="76" t="s">
        <v>10945</v>
      </c>
    </row>
    <row r="3763" spans="1:2" ht="15">
      <c r="A3763" s="77" t="s">
        <v>7476</v>
      </c>
      <c r="B3763" s="76" t="s">
        <v>10945</v>
      </c>
    </row>
    <row r="3764" spans="1:2" ht="15">
      <c r="A3764" s="77" t="s">
        <v>7477</v>
      </c>
      <c r="B3764" s="76" t="s">
        <v>10945</v>
      </c>
    </row>
    <row r="3765" spans="1:2" ht="15">
      <c r="A3765" s="77" t="s">
        <v>7478</v>
      </c>
      <c r="B3765" s="76" t="s">
        <v>10945</v>
      </c>
    </row>
    <row r="3766" spans="1:2" ht="15">
      <c r="A3766" s="77" t="s">
        <v>7479</v>
      </c>
      <c r="B3766" s="76" t="s">
        <v>10945</v>
      </c>
    </row>
    <row r="3767" spans="1:2" ht="15">
      <c r="A3767" s="77" t="s">
        <v>7480</v>
      </c>
      <c r="B3767" s="76" t="s">
        <v>10945</v>
      </c>
    </row>
    <row r="3768" spans="1:2" ht="15">
      <c r="A3768" s="77" t="s">
        <v>7481</v>
      </c>
      <c r="B3768" s="76" t="s">
        <v>10945</v>
      </c>
    </row>
    <row r="3769" spans="1:2" ht="15">
      <c r="A3769" s="77" t="s">
        <v>7482</v>
      </c>
      <c r="B3769" s="76" t="s">
        <v>10945</v>
      </c>
    </row>
    <row r="3770" spans="1:2" ht="15">
      <c r="A3770" s="77" t="s">
        <v>7483</v>
      </c>
      <c r="B3770" s="76" t="s">
        <v>10945</v>
      </c>
    </row>
    <row r="3771" spans="1:2" ht="15">
      <c r="A3771" s="77" t="s">
        <v>7484</v>
      </c>
      <c r="B3771" s="76" t="s">
        <v>10945</v>
      </c>
    </row>
    <row r="3772" spans="1:2" ht="15">
      <c r="A3772" s="77" t="s">
        <v>7485</v>
      </c>
      <c r="B3772" s="76" t="s">
        <v>10945</v>
      </c>
    </row>
    <row r="3773" spans="1:2" ht="15">
      <c r="A3773" s="77" t="s">
        <v>7486</v>
      </c>
      <c r="B3773" s="76" t="s">
        <v>10945</v>
      </c>
    </row>
    <row r="3774" spans="1:2" ht="15">
      <c r="A3774" s="77" t="s">
        <v>7487</v>
      </c>
      <c r="B3774" s="76" t="s">
        <v>10945</v>
      </c>
    </row>
    <row r="3775" spans="1:2" ht="15">
      <c r="A3775" s="77" t="s">
        <v>7488</v>
      </c>
      <c r="B3775" s="76" t="s">
        <v>10945</v>
      </c>
    </row>
    <row r="3776" spans="1:2" ht="15">
      <c r="A3776" s="77" t="s">
        <v>7489</v>
      </c>
      <c r="B3776" s="76" t="s">
        <v>10945</v>
      </c>
    </row>
    <row r="3777" spans="1:2" ht="15">
      <c r="A3777" s="77" t="s">
        <v>7490</v>
      </c>
      <c r="B3777" s="76" t="s">
        <v>10945</v>
      </c>
    </row>
    <row r="3778" spans="1:2" ht="15">
      <c r="A3778" s="77" t="s">
        <v>7491</v>
      </c>
      <c r="B3778" s="76" t="s">
        <v>10945</v>
      </c>
    </row>
    <row r="3779" spans="1:2" ht="15">
      <c r="A3779" s="77" t="s">
        <v>7492</v>
      </c>
      <c r="B3779" s="76" t="s">
        <v>10945</v>
      </c>
    </row>
    <row r="3780" spans="1:2" ht="15">
      <c r="A3780" s="77" t="s">
        <v>7493</v>
      </c>
      <c r="B3780" s="76" t="s">
        <v>10945</v>
      </c>
    </row>
    <row r="3781" spans="1:2" ht="15">
      <c r="A3781" s="77" t="s">
        <v>7494</v>
      </c>
      <c r="B3781" s="76" t="s">
        <v>10945</v>
      </c>
    </row>
    <row r="3782" spans="1:2" ht="15">
      <c r="A3782" s="77" t="s">
        <v>7495</v>
      </c>
      <c r="B3782" s="76" t="s">
        <v>10945</v>
      </c>
    </row>
    <row r="3783" spans="1:2" ht="15">
      <c r="A3783" s="77" t="s">
        <v>7496</v>
      </c>
      <c r="B3783" s="76" t="s">
        <v>10945</v>
      </c>
    </row>
    <row r="3784" spans="1:2" ht="15">
      <c r="A3784" s="77" t="s">
        <v>7497</v>
      </c>
      <c r="B3784" s="76" t="s">
        <v>10945</v>
      </c>
    </row>
    <row r="3785" spans="1:2" ht="15">
      <c r="A3785" s="77" t="s">
        <v>7498</v>
      </c>
      <c r="B3785" s="76" t="s">
        <v>10945</v>
      </c>
    </row>
    <row r="3786" spans="1:2" ht="15">
      <c r="A3786" s="77" t="s">
        <v>7499</v>
      </c>
      <c r="B3786" s="76" t="s">
        <v>10945</v>
      </c>
    </row>
    <row r="3787" spans="1:2" ht="15">
      <c r="A3787" s="77" t="s">
        <v>7500</v>
      </c>
      <c r="B3787" s="76" t="s">
        <v>10945</v>
      </c>
    </row>
    <row r="3788" spans="1:2" ht="15">
      <c r="A3788" s="77" t="s">
        <v>7501</v>
      </c>
      <c r="B3788" s="76" t="s">
        <v>10945</v>
      </c>
    </row>
    <row r="3789" spans="1:2" ht="15">
      <c r="A3789" s="77" t="s">
        <v>7502</v>
      </c>
      <c r="B3789" s="76" t="s">
        <v>10945</v>
      </c>
    </row>
    <row r="3790" spans="1:2" ht="15">
      <c r="A3790" s="77" t="s">
        <v>7503</v>
      </c>
      <c r="B3790" s="76" t="s">
        <v>10945</v>
      </c>
    </row>
    <row r="3791" spans="1:2" ht="15">
      <c r="A3791" s="77" t="s">
        <v>7504</v>
      </c>
      <c r="B3791" s="76" t="s">
        <v>10945</v>
      </c>
    </row>
    <row r="3792" spans="1:2" ht="15">
      <c r="A3792" s="77" t="s">
        <v>7505</v>
      </c>
      <c r="B3792" s="76" t="s">
        <v>10945</v>
      </c>
    </row>
    <row r="3793" spans="1:2" ht="15">
      <c r="A3793" s="77" t="s">
        <v>7506</v>
      </c>
      <c r="B3793" s="76" t="s">
        <v>10945</v>
      </c>
    </row>
    <row r="3794" spans="1:2" ht="15">
      <c r="A3794" s="77" t="s">
        <v>7507</v>
      </c>
      <c r="B3794" s="76" t="s">
        <v>10945</v>
      </c>
    </row>
    <row r="3795" spans="1:2" ht="15">
      <c r="A3795" s="77" t="s">
        <v>7508</v>
      </c>
      <c r="B3795" s="76" t="s">
        <v>10945</v>
      </c>
    </row>
    <row r="3796" spans="1:2" ht="15">
      <c r="A3796" s="77" t="s">
        <v>7509</v>
      </c>
      <c r="B3796" s="76" t="s">
        <v>10945</v>
      </c>
    </row>
    <row r="3797" spans="1:2" ht="15">
      <c r="A3797" s="77" t="s">
        <v>7510</v>
      </c>
      <c r="B3797" s="76" t="s">
        <v>10945</v>
      </c>
    </row>
    <row r="3798" spans="1:2" ht="15">
      <c r="A3798" s="77" t="s">
        <v>7511</v>
      </c>
      <c r="B3798" s="76" t="s">
        <v>10945</v>
      </c>
    </row>
    <row r="3799" spans="1:2" ht="15">
      <c r="A3799" s="77" t="s">
        <v>7512</v>
      </c>
      <c r="B3799" s="76" t="s">
        <v>10945</v>
      </c>
    </row>
    <row r="3800" spans="1:2" ht="15">
      <c r="A3800" s="77" t="s">
        <v>7513</v>
      </c>
      <c r="B3800" s="76" t="s">
        <v>10945</v>
      </c>
    </row>
    <row r="3801" spans="1:2" ht="15">
      <c r="A3801" s="77" t="s">
        <v>7514</v>
      </c>
      <c r="B3801" s="76" t="s">
        <v>10945</v>
      </c>
    </row>
    <row r="3802" spans="1:2" ht="15">
      <c r="A3802" s="77" t="s">
        <v>7515</v>
      </c>
      <c r="B3802" s="76" t="s">
        <v>10945</v>
      </c>
    </row>
    <row r="3803" spans="1:2" ht="15">
      <c r="A3803" s="77" t="s">
        <v>7516</v>
      </c>
      <c r="B3803" s="76" t="s">
        <v>10945</v>
      </c>
    </row>
    <row r="3804" spans="1:2" ht="15">
      <c r="A3804" s="77" t="s">
        <v>7517</v>
      </c>
      <c r="B3804" s="76" t="s">
        <v>10945</v>
      </c>
    </row>
    <row r="3805" spans="1:2" ht="15">
      <c r="A3805" s="77" t="s">
        <v>7518</v>
      </c>
      <c r="B3805" s="76" t="s">
        <v>10945</v>
      </c>
    </row>
    <row r="3806" spans="1:2" ht="15">
      <c r="A3806" s="77" t="s">
        <v>7519</v>
      </c>
      <c r="B3806" s="76" t="s">
        <v>10945</v>
      </c>
    </row>
    <row r="3807" spans="1:2" ht="15">
      <c r="A3807" s="77" t="s">
        <v>7520</v>
      </c>
      <c r="B3807" s="76" t="s">
        <v>10945</v>
      </c>
    </row>
    <row r="3808" spans="1:2" ht="15">
      <c r="A3808" s="77" t="s">
        <v>7521</v>
      </c>
      <c r="B3808" s="76" t="s">
        <v>10945</v>
      </c>
    </row>
    <row r="3809" spans="1:2" ht="15">
      <c r="A3809" s="77" t="s">
        <v>7522</v>
      </c>
      <c r="B3809" s="76" t="s">
        <v>10945</v>
      </c>
    </row>
    <row r="3810" spans="1:2" ht="15">
      <c r="A3810" s="77" t="s">
        <v>7523</v>
      </c>
      <c r="B3810" s="76" t="s">
        <v>10945</v>
      </c>
    </row>
    <row r="3811" spans="1:2" ht="15">
      <c r="A3811" s="77" t="s">
        <v>7524</v>
      </c>
      <c r="B3811" s="76" t="s">
        <v>10945</v>
      </c>
    </row>
    <row r="3812" spans="1:2" ht="15">
      <c r="A3812" s="77" t="s">
        <v>7525</v>
      </c>
      <c r="B3812" s="76" t="s">
        <v>10945</v>
      </c>
    </row>
    <row r="3813" spans="1:2" ht="15">
      <c r="A3813" s="77" t="s">
        <v>7526</v>
      </c>
      <c r="B3813" s="76" t="s">
        <v>10945</v>
      </c>
    </row>
    <row r="3814" spans="1:2" ht="15">
      <c r="A3814" s="77" t="s">
        <v>7527</v>
      </c>
      <c r="B3814" s="76" t="s">
        <v>10945</v>
      </c>
    </row>
    <row r="3815" spans="1:2" ht="15">
      <c r="A3815" s="77" t="s">
        <v>7528</v>
      </c>
      <c r="B3815" s="76" t="s">
        <v>10945</v>
      </c>
    </row>
    <row r="3816" spans="1:2" ht="15">
      <c r="A3816" s="77" t="s">
        <v>7529</v>
      </c>
      <c r="B3816" s="76" t="s">
        <v>10945</v>
      </c>
    </row>
    <row r="3817" spans="1:2" ht="15">
      <c r="A3817" s="77" t="s">
        <v>7530</v>
      </c>
      <c r="B3817" s="76" t="s">
        <v>10945</v>
      </c>
    </row>
    <row r="3818" spans="1:2" ht="15">
      <c r="A3818" s="77" t="s">
        <v>7531</v>
      </c>
      <c r="B3818" s="76" t="s">
        <v>10945</v>
      </c>
    </row>
    <row r="3819" spans="1:2" ht="15">
      <c r="A3819" s="77" t="s">
        <v>7532</v>
      </c>
      <c r="B3819" s="76" t="s">
        <v>10945</v>
      </c>
    </row>
    <row r="3820" spans="1:2" ht="15">
      <c r="A3820" s="77" t="s">
        <v>7533</v>
      </c>
      <c r="B3820" s="76" t="s">
        <v>10945</v>
      </c>
    </row>
    <row r="3821" spans="1:2" ht="15">
      <c r="A3821" s="77" t="s">
        <v>7534</v>
      </c>
      <c r="B3821" s="76" t="s">
        <v>10945</v>
      </c>
    </row>
    <row r="3822" spans="1:2" ht="15">
      <c r="A3822" s="77" t="s">
        <v>7535</v>
      </c>
      <c r="B3822" s="76" t="s">
        <v>10945</v>
      </c>
    </row>
    <row r="3823" spans="1:2" ht="15">
      <c r="A3823" s="77" t="s">
        <v>7536</v>
      </c>
      <c r="B3823" s="76" t="s">
        <v>10945</v>
      </c>
    </row>
    <row r="3824" spans="1:2" ht="15">
      <c r="A3824" s="77" t="s">
        <v>7537</v>
      </c>
      <c r="B3824" s="76" t="s">
        <v>10945</v>
      </c>
    </row>
    <row r="3825" spans="1:2" ht="15">
      <c r="A3825" s="77" t="s">
        <v>7538</v>
      </c>
      <c r="B3825" s="76" t="s">
        <v>10945</v>
      </c>
    </row>
    <row r="3826" spans="1:2" ht="15">
      <c r="A3826" s="77" t="s">
        <v>7539</v>
      </c>
      <c r="B3826" s="76" t="s">
        <v>10945</v>
      </c>
    </row>
    <row r="3827" spans="1:2" ht="15">
      <c r="A3827" s="77" t="s">
        <v>7540</v>
      </c>
      <c r="B3827" s="76" t="s">
        <v>10945</v>
      </c>
    </row>
    <row r="3828" spans="1:2" ht="15">
      <c r="A3828" s="77" t="s">
        <v>7541</v>
      </c>
      <c r="B3828" s="76" t="s">
        <v>10945</v>
      </c>
    </row>
    <row r="3829" spans="1:2" ht="15">
      <c r="A3829" s="77" t="s">
        <v>7542</v>
      </c>
      <c r="B3829" s="76" t="s">
        <v>10945</v>
      </c>
    </row>
    <row r="3830" spans="1:2" ht="15">
      <c r="A3830" s="77" t="s">
        <v>7543</v>
      </c>
      <c r="B3830" s="76" t="s">
        <v>10945</v>
      </c>
    </row>
    <row r="3831" spans="1:2" ht="15">
      <c r="A3831" s="77" t="s">
        <v>7544</v>
      </c>
      <c r="B3831" s="76" t="s">
        <v>10945</v>
      </c>
    </row>
    <row r="3832" spans="1:2" ht="15">
      <c r="A3832" s="77" t="s">
        <v>7545</v>
      </c>
      <c r="B3832" s="76" t="s">
        <v>10945</v>
      </c>
    </row>
    <row r="3833" spans="1:2" ht="15">
      <c r="A3833" s="77" t="s">
        <v>7546</v>
      </c>
      <c r="B3833" s="76" t="s">
        <v>10945</v>
      </c>
    </row>
    <row r="3834" spans="1:2" ht="15">
      <c r="A3834" s="77" t="s">
        <v>7547</v>
      </c>
      <c r="B3834" s="76" t="s">
        <v>10945</v>
      </c>
    </row>
    <row r="3835" spans="1:2" ht="15">
      <c r="A3835" s="77" t="s">
        <v>7548</v>
      </c>
      <c r="B3835" s="76" t="s">
        <v>10945</v>
      </c>
    </row>
    <row r="3836" spans="1:2" ht="15">
      <c r="A3836" s="77" t="s">
        <v>7549</v>
      </c>
      <c r="B3836" s="76" t="s">
        <v>10945</v>
      </c>
    </row>
    <row r="3837" spans="1:2" ht="15">
      <c r="A3837" s="77" t="s">
        <v>7550</v>
      </c>
      <c r="B3837" s="76" t="s">
        <v>10945</v>
      </c>
    </row>
    <row r="3838" spans="1:2" ht="15">
      <c r="A3838" s="77" t="s">
        <v>7551</v>
      </c>
      <c r="B3838" s="76" t="s">
        <v>10945</v>
      </c>
    </row>
    <row r="3839" spans="1:2" ht="15">
      <c r="A3839" s="77" t="s">
        <v>7552</v>
      </c>
      <c r="B3839" s="76" t="s">
        <v>10945</v>
      </c>
    </row>
    <row r="3840" spans="1:2" ht="15">
      <c r="A3840" s="77" t="s">
        <v>7553</v>
      </c>
      <c r="B3840" s="76" t="s">
        <v>10945</v>
      </c>
    </row>
    <row r="3841" spans="1:2" ht="15">
      <c r="A3841" s="77" t="s">
        <v>7554</v>
      </c>
      <c r="B3841" s="76" t="s">
        <v>10945</v>
      </c>
    </row>
    <row r="3842" spans="1:2" ht="15">
      <c r="A3842" s="77" t="s">
        <v>7555</v>
      </c>
      <c r="B3842" s="76" t="s">
        <v>10945</v>
      </c>
    </row>
    <row r="3843" spans="1:2" ht="15">
      <c r="A3843" s="77" t="s">
        <v>7556</v>
      </c>
      <c r="B3843" s="76" t="s">
        <v>10945</v>
      </c>
    </row>
    <row r="3844" spans="1:2" ht="15">
      <c r="A3844" s="77" t="s">
        <v>7557</v>
      </c>
      <c r="B3844" s="76" t="s">
        <v>10945</v>
      </c>
    </row>
    <row r="3845" spans="1:2" ht="15">
      <c r="A3845" s="77" t="s">
        <v>7558</v>
      </c>
      <c r="B3845" s="76" t="s">
        <v>10945</v>
      </c>
    </row>
    <row r="3846" spans="1:2" ht="15">
      <c r="A3846" s="77" t="s">
        <v>7559</v>
      </c>
      <c r="B3846" s="76" t="s">
        <v>10945</v>
      </c>
    </row>
    <row r="3847" spans="1:2" ht="15">
      <c r="A3847" s="77" t="s">
        <v>7560</v>
      </c>
      <c r="B3847" s="76" t="s">
        <v>10945</v>
      </c>
    </row>
    <row r="3848" spans="1:2" ht="15">
      <c r="A3848" s="77" t="s">
        <v>7561</v>
      </c>
      <c r="B3848" s="76" t="s">
        <v>10945</v>
      </c>
    </row>
    <row r="3849" spans="1:2" ht="15">
      <c r="A3849" s="77" t="s">
        <v>7562</v>
      </c>
      <c r="B3849" s="76" t="s">
        <v>10945</v>
      </c>
    </row>
    <row r="3850" spans="1:2" ht="15">
      <c r="A3850" s="77" t="s">
        <v>7563</v>
      </c>
      <c r="B3850" s="76" t="s">
        <v>10945</v>
      </c>
    </row>
    <row r="3851" spans="1:2" ht="15">
      <c r="A3851" s="77" t="s">
        <v>7564</v>
      </c>
      <c r="B3851" s="76" t="s">
        <v>10945</v>
      </c>
    </row>
    <row r="3852" spans="1:2" ht="15">
      <c r="A3852" s="77" t="s">
        <v>7565</v>
      </c>
      <c r="B3852" s="76" t="s">
        <v>10945</v>
      </c>
    </row>
    <row r="3853" spans="1:2" ht="15">
      <c r="A3853" s="77" t="s">
        <v>7566</v>
      </c>
      <c r="B3853" s="76" t="s">
        <v>10945</v>
      </c>
    </row>
    <row r="3854" spans="1:2" ht="15">
      <c r="A3854" s="77" t="s">
        <v>7567</v>
      </c>
      <c r="B3854" s="76" t="s">
        <v>10945</v>
      </c>
    </row>
    <row r="3855" spans="1:2" ht="15">
      <c r="A3855" s="77" t="s">
        <v>7568</v>
      </c>
      <c r="B3855" s="76" t="s">
        <v>10945</v>
      </c>
    </row>
    <row r="3856" spans="1:2" ht="15">
      <c r="A3856" s="77" t="s">
        <v>7569</v>
      </c>
      <c r="B3856" s="76" t="s">
        <v>10945</v>
      </c>
    </row>
    <row r="3857" spans="1:2" ht="15">
      <c r="A3857" s="77" t="s">
        <v>7570</v>
      </c>
      <c r="B3857" s="76" t="s">
        <v>10945</v>
      </c>
    </row>
    <row r="3858" spans="1:2" ht="15">
      <c r="A3858" s="77" t="s">
        <v>7571</v>
      </c>
      <c r="B3858" s="76" t="s">
        <v>10945</v>
      </c>
    </row>
    <row r="3859" spans="1:2" ht="15">
      <c r="A3859" s="77" t="s">
        <v>7572</v>
      </c>
      <c r="B3859" s="76" t="s">
        <v>10945</v>
      </c>
    </row>
    <row r="3860" spans="1:2" ht="15">
      <c r="A3860" s="77" t="s">
        <v>7573</v>
      </c>
      <c r="B3860" s="76" t="s">
        <v>10945</v>
      </c>
    </row>
    <row r="3861" spans="1:2" ht="15">
      <c r="A3861" s="77" t="s">
        <v>7574</v>
      </c>
      <c r="B3861" s="76" t="s">
        <v>10945</v>
      </c>
    </row>
    <row r="3862" spans="1:2" ht="15">
      <c r="A3862" s="77" t="s">
        <v>7575</v>
      </c>
      <c r="B3862" s="76" t="s">
        <v>10945</v>
      </c>
    </row>
    <row r="3863" spans="1:2" ht="15">
      <c r="A3863" s="77" t="s">
        <v>7576</v>
      </c>
      <c r="B3863" s="76" t="s">
        <v>10945</v>
      </c>
    </row>
    <row r="3864" spans="1:2" ht="15">
      <c r="A3864" s="77" t="s">
        <v>7577</v>
      </c>
      <c r="B3864" s="76" t="s">
        <v>10945</v>
      </c>
    </row>
    <row r="3865" spans="1:2" ht="15">
      <c r="A3865" s="77" t="s">
        <v>7578</v>
      </c>
      <c r="B3865" s="76" t="s">
        <v>10945</v>
      </c>
    </row>
    <row r="3866" spans="1:2" ht="15">
      <c r="A3866" s="77" t="s">
        <v>7579</v>
      </c>
      <c r="B3866" s="76" t="s">
        <v>10945</v>
      </c>
    </row>
    <row r="3867" spans="1:2" ht="15">
      <c r="A3867" s="77" t="s">
        <v>7580</v>
      </c>
      <c r="B3867" s="76" t="s">
        <v>10945</v>
      </c>
    </row>
    <row r="3868" spans="1:2" ht="15">
      <c r="A3868" s="77" t="s">
        <v>7581</v>
      </c>
      <c r="B3868" s="76" t="s">
        <v>10945</v>
      </c>
    </row>
    <row r="3869" spans="1:2" ht="15">
      <c r="A3869" s="77" t="s">
        <v>7582</v>
      </c>
      <c r="B3869" s="76" t="s">
        <v>10945</v>
      </c>
    </row>
    <row r="3870" spans="1:2" ht="15">
      <c r="A3870" s="77" t="s">
        <v>7583</v>
      </c>
      <c r="B3870" s="76" t="s">
        <v>10945</v>
      </c>
    </row>
    <row r="3871" spans="1:2" ht="15">
      <c r="A3871" s="77" t="s">
        <v>7584</v>
      </c>
      <c r="B3871" s="76" t="s">
        <v>10945</v>
      </c>
    </row>
    <row r="3872" spans="1:2" ht="15">
      <c r="A3872" s="77" t="s">
        <v>7585</v>
      </c>
      <c r="B3872" s="76" t="s">
        <v>10945</v>
      </c>
    </row>
    <row r="3873" spans="1:2" ht="15">
      <c r="A3873" s="77" t="s">
        <v>7586</v>
      </c>
      <c r="B3873" s="76" t="s">
        <v>10945</v>
      </c>
    </row>
    <row r="3874" spans="1:2" ht="15">
      <c r="A3874" s="77" t="s">
        <v>7587</v>
      </c>
      <c r="B3874" s="76" t="s">
        <v>10945</v>
      </c>
    </row>
    <row r="3875" spans="1:2" ht="15">
      <c r="A3875" s="77" t="s">
        <v>7588</v>
      </c>
      <c r="B3875" s="76" t="s">
        <v>10945</v>
      </c>
    </row>
    <row r="3876" spans="1:2" ht="15">
      <c r="A3876" s="77" t="s">
        <v>7589</v>
      </c>
      <c r="B3876" s="76" t="s">
        <v>10945</v>
      </c>
    </row>
    <row r="3877" spans="1:2" ht="15">
      <c r="A3877" s="77" t="s">
        <v>7590</v>
      </c>
      <c r="B3877" s="76" t="s">
        <v>10945</v>
      </c>
    </row>
    <row r="3878" spans="1:2" ht="15">
      <c r="A3878" s="77" t="s">
        <v>7591</v>
      </c>
      <c r="B3878" s="76" t="s">
        <v>10945</v>
      </c>
    </row>
    <row r="3879" spans="1:2" ht="15">
      <c r="A3879" s="77" t="s">
        <v>7592</v>
      </c>
      <c r="B3879" s="76" t="s">
        <v>10945</v>
      </c>
    </row>
    <row r="3880" spans="1:2" ht="15">
      <c r="A3880" s="77" t="s">
        <v>7593</v>
      </c>
      <c r="B3880" s="76" t="s">
        <v>10945</v>
      </c>
    </row>
    <row r="3881" spans="1:2" ht="15">
      <c r="A3881" s="77" t="s">
        <v>7594</v>
      </c>
      <c r="B3881" s="76" t="s">
        <v>10945</v>
      </c>
    </row>
    <row r="3882" spans="1:2" ht="15">
      <c r="A3882" s="77" t="s">
        <v>7595</v>
      </c>
      <c r="B3882" s="76" t="s">
        <v>10945</v>
      </c>
    </row>
    <row r="3883" spans="1:2" ht="15">
      <c r="A3883" s="77" t="s">
        <v>7596</v>
      </c>
      <c r="B3883" s="76" t="s">
        <v>10945</v>
      </c>
    </row>
    <row r="3884" spans="1:2" ht="15">
      <c r="A3884" s="77" t="s">
        <v>7597</v>
      </c>
      <c r="B3884" s="76" t="s">
        <v>10945</v>
      </c>
    </row>
    <row r="3885" spans="1:2" ht="15">
      <c r="A3885" s="77" t="s">
        <v>7598</v>
      </c>
      <c r="B3885" s="76" t="s">
        <v>10945</v>
      </c>
    </row>
    <row r="3886" spans="1:2" ht="15">
      <c r="A3886" s="77" t="s">
        <v>7599</v>
      </c>
      <c r="B3886" s="76" t="s">
        <v>10945</v>
      </c>
    </row>
    <row r="3887" spans="1:2" ht="15">
      <c r="A3887" s="77" t="s">
        <v>7600</v>
      </c>
      <c r="B3887" s="76" t="s">
        <v>10945</v>
      </c>
    </row>
    <row r="3888" spans="1:2" ht="15">
      <c r="A3888" s="77" t="s">
        <v>7601</v>
      </c>
      <c r="B3888" s="76" t="s">
        <v>10945</v>
      </c>
    </row>
    <row r="3889" spans="1:2" ht="15">
      <c r="A3889" s="77" t="s">
        <v>7602</v>
      </c>
      <c r="B3889" s="76" t="s">
        <v>10945</v>
      </c>
    </row>
    <row r="3890" spans="1:2" ht="15">
      <c r="A3890" s="77" t="s">
        <v>7603</v>
      </c>
      <c r="B3890" s="76" t="s">
        <v>10945</v>
      </c>
    </row>
    <row r="3891" spans="1:2" ht="15">
      <c r="A3891" s="77" t="s">
        <v>7604</v>
      </c>
      <c r="B3891" s="76" t="s">
        <v>10945</v>
      </c>
    </row>
    <row r="3892" spans="1:2" ht="15">
      <c r="A3892" s="77" t="s">
        <v>7605</v>
      </c>
      <c r="B3892" s="76" t="s">
        <v>10945</v>
      </c>
    </row>
    <row r="3893" spans="1:2" ht="15">
      <c r="A3893" s="77" t="s">
        <v>7606</v>
      </c>
      <c r="B3893" s="76" t="s">
        <v>10945</v>
      </c>
    </row>
    <row r="3894" spans="1:2" ht="15">
      <c r="A3894" s="77" t="s">
        <v>7607</v>
      </c>
      <c r="B3894" s="76" t="s">
        <v>10945</v>
      </c>
    </row>
    <row r="3895" spans="1:2" ht="15">
      <c r="A3895" s="77" t="s">
        <v>7608</v>
      </c>
      <c r="B3895" s="76" t="s">
        <v>10945</v>
      </c>
    </row>
    <row r="3896" spans="1:2" ht="15">
      <c r="A3896" s="77" t="s">
        <v>7609</v>
      </c>
      <c r="B3896" s="76" t="s">
        <v>10945</v>
      </c>
    </row>
    <row r="3897" spans="1:2" ht="15">
      <c r="A3897" s="77" t="s">
        <v>7610</v>
      </c>
      <c r="B3897" s="76" t="s">
        <v>10945</v>
      </c>
    </row>
    <row r="3898" spans="1:2" ht="15">
      <c r="A3898" s="77" t="s">
        <v>7611</v>
      </c>
      <c r="B3898" s="76" t="s">
        <v>10945</v>
      </c>
    </row>
    <row r="3899" spans="1:2" ht="15">
      <c r="A3899" s="77" t="s">
        <v>7612</v>
      </c>
      <c r="B3899" s="76" t="s">
        <v>10945</v>
      </c>
    </row>
    <row r="3900" spans="1:2" ht="15">
      <c r="A3900" s="77" t="s">
        <v>7613</v>
      </c>
      <c r="B3900" s="76" t="s">
        <v>10945</v>
      </c>
    </row>
    <row r="3901" spans="1:2" ht="15">
      <c r="A3901" s="77" t="s">
        <v>7614</v>
      </c>
      <c r="B3901" s="76" t="s">
        <v>10945</v>
      </c>
    </row>
    <row r="3902" spans="1:2" ht="15">
      <c r="A3902" s="77" t="s">
        <v>7615</v>
      </c>
      <c r="B3902" s="76" t="s">
        <v>10945</v>
      </c>
    </row>
    <row r="3903" spans="1:2" ht="15">
      <c r="A3903" s="77" t="s">
        <v>7616</v>
      </c>
      <c r="B3903" s="76" t="s">
        <v>10945</v>
      </c>
    </row>
    <row r="3904" spans="1:2" ht="15">
      <c r="A3904" s="77" t="s">
        <v>7617</v>
      </c>
      <c r="B3904" s="76" t="s">
        <v>10945</v>
      </c>
    </row>
    <row r="3905" spans="1:2" ht="15">
      <c r="A3905" s="77" t="s">
        <v>7618</v>
      </c>
      <c r="B3905" s="76" t="s">
        <v>10945</v>
      </c>
    </row>
    <row r="3906" spans="1:2" ht="15">
      <c r="A3906" s="77" t="s">
        <v>7619</v>
      </c>
      <c r="B3906" s="76" t="s">
        <v>10945</v>
      </c>
    </row>
    <row r="3907" spans="1:2" ht="15">
      <c r="A3907" s="77" t="s">
        <v>7620</v>
      </c>
      <c r="B3907" s="76" t="s">
        <v>10945</v>
      </c>
    </row>
    <row r="3908" spans="1:2" ht="15">
      <c r="A3908" s="77" t="s">
        <v>7621</v>
      </c>
      <c r="B3908" s="76" t="s">
        <v>10945</v>
      </c>
    </row>
    <row r="3909" spans="1:2" ht="15">
      <c r="A3909" s="77" t="s">
        <v>7622</v>
      </c>
      <c r="B3909" s="76" t="s">
        <v>10945</v>
      </c>
    </row>
    <row r="3910" spans="1:2" ht="15">
      <c r="A3910" s="77" t="s">
        <v>7623</v>
      </c>
      <c r="B3910" s="76" t="s">
        <v>10945</v>
      </c>
    </row>
    <row r="3911" spans="1:2" ht="15">
      <c r="A3911" s="77" t="s">
        <v>7624</v>
      </c>
      <c r="B3911" s="76" t="s">
        <v>10945</v>
      </c>
    </row>
    <row r="3912" spans="1:2" ht="15">
      <c r="A3912" s="77" t="s">
        <v>7625</v>
      </c>
      <c r="B3912" s="76" t="s">
        <v>10945</v>
      </c>
    </row>
    <row r="3913" spans="1:2" ht="15">
      <c r="A3913" s="77" t="s">
        <v>7626</v>
      </c>
      <c r="B3913" s="76" t="s">
        <v>10945</v>
      </c>
    </row>
    <row r="3914" spans="1:2" ht="15">
      <c r="A3914" s="77" t="s">
        <v>7627</v>
      </c>
      <c r="B3914" s="76" t="s">
        <v>10945</v>
      </c>
    </row>
    <row r="3915" spans="1:2" ht="15">
      <c r="A3915" s="77" t="s">
        <v>7628</v>
      </c>
      <c r="B3915" s="76" t="s">
        <v>10945</v>
      </c>
    </row>
    <row r="3916" spans="1:2" ht="15">
      <c r="A3916" s="77" t="s">
        <v>7629</v>
      </c>
      <c r="B3916" s="76" t="s">
        <v>10945</v>
      </c>
    </row>
    <row r="3917" spans="1:2" ht="15">
      <c r="A3917" s="77" t="s">
        <v>7630</v>
      </c>
      <c r="B3917" s="76" t="s">
        <v>10945</v>
      </c>
    </row>
    <row r="3918" spans="1:2" ht="15">
      <c r="A3918" s="77" t="s">
        <v>7631</v>
      </c>
      <c r="B3918" s="76" t="s">
        <v>10945</v>
      </c>
    </row>
    <row r="3919" spans="1:2" ht="15">
      <c r="A3919" s="77" t="s">
        <v>7632</v>
      </c>
      <c r="B3919" s="76" t="s">
        <v>10945</v>
      </c>
    </row>
    <row r="3920" spans="1:2" ht="15">
      <c r="A3920" s="77" t="s">
        <v>7633</v>
      </c>
      <c r="B3920" s="76" t="s">
        <v>10945</v>
      </c>
    </row>
    <row r="3921" spans="1:2" ht="15">
      <c r="A3921" s="77" t="s">
        <v>7634</v>
      </c>
      <c r="B3921" s="76" t="s">
        <v>10945</v>
      </c>
    </row>
    <row r="3922" spans="1:2" ht="15">
      <c r="A3922" s="77" t="s">
        <v>7635</v>
      </c>
      <c r="B3922" s="76" t="s">
        <v>10945</v>
      </c>
    </row>
    <row r="3923" spans="1:2" ht="15">
      <c r="A3923" s="77" t="s">
        <v>7636</v>
      </c>
      <c r="B3923" s="76" t="s">
        <v>10945</v>
      </c>
    </row>
    <row r="3924" spans="1:2" ht="15">
      <c r="A3924" s="77" t="s">
        <v>7637</v>
      </c>
      <c r="B3924" s="76" t="s">
        <v>10945</v>
      </c>
    </row>
    <row r="3925" spans="1:2" ht="15">
      <c r="A3925" s="77" t="s">
        <v>7638</v>
      </c>
      <c r="B3925" s="76" t="s">
        <v>10945</v>
      </c>
    </row>
    <row r="3926" spans="1:2" ht="15">
      <c r="A3926" s="77" t="s">
        <v>7639</v>
      </c>
      <c r="B3926" s="76" t="s">
        <v>10945</v>
      </c>
    </row>
    <row r="3927" spans="1:2" ht="15">
      <c r="A3927" s="77" t="s">
        <v>7640</v>
      </c>
      <c r="B3927" s="76" t="s">
        <v>10945</v>
      </c>
    </row>
    <row r="3928" spans="1:2" ht="15">
      <c r="A3928" s="77" t="s">
        <v>7641</v>
      </c>
      <c r="B3928" s="76" t="s">
        <v>10945</v>
      </c>
    </row>
    <row r="3929" spans="1:2" ht="15">
      <c r="A3929" s="77" t="s">
        <v>7642</v>
      </c>
      <c r="B3929" s="76" t="s">
        <v>10945</v>
      </c>
    </row>
    <row r="3930" spans="1:2" ht="15">
      <c r="A3930" s="77" t="s">
        <v>7643</v>
      </c>
      <c r="B3930" s="76" t="s">
        <v>10945</v>
      </c>
    </row>
    <row r="3931" spans="1:2" ht="15">
      <c r="A3931" s="77" t="s">
        <v>7644</v>
      </c>
      <c r="B3931" s="76" t="s">
        <v>10945</v>
      </c>
    </row>
    <row r="3932" spans="1:2" ht="15">
      <c r="A3932" s="77" t="s">
        <v>7645</v>
      </c>
      <c r="B3932" s="76" t="s">
        <v>10945</v>
      </c>
    </row>
    <row r="3933" spans="1:2" ht="15">
      <c r="A3933" s="77" t="s">
        <v>7646</v>
      </c>
      <c r="B3933" s="76" t="s">
        <v>10945</v>
      </c>
    </row>
    <row r="3934" spans="1:2" ht="15">
      <c r="A3934" s="77" t="s">
        <v>7647</v>
      </c>
      <c r="B3934" s="76" t="s">
        <v>10945</v>
      </c>
    </row>
    <row r="3935" spans="1:2" ht="15">
      <c r="A3935" s="77" t="s">
        <v>7648</v>
      </c>
      <c r="B3935" s="76" t="s">
        <v>10945</v>
      </c>
    </row>
    <row r="3936" spans="1:2" ht="15">
      <c r="A3936" s="77" t="s">
        <v>7649</v>
      </c>
      <c r="B3936" s="76" t="s">
        <v>10945</v>
      </c>
    </row>
    <row r="3937" spans="1:2" ht="15">
      <c r="A3937" s="77" t="s">
        <v>7650</v>
      </c>
      <c r="B3937" s="76" t="s">
        <v>10945</v>
      </c>
    </row>
    <row r="3938" spans="1:2" ht="15">
      <c r="A3938" s="77" t="s">
        <v>7651</v>
      </c>
      <c r="B3938" s="76" t="s">
        <v>10945</v>
      </c>
    </row>
    <row r="3939" spans="1:2" ht="15">
      <c r="A3939" s="77" t="s">
        <v>7652</v>
      </c>
      <c r="B3939" s="76" t="s">
        <v>10945</v>
      </c>
    </row>
    <row r="3940" spans="1:2" ht="15">
      <c r="A3940" s="77" t="s">
        <v>3358</v>
      </c>
      <c r="B3940" s="76" t="s">
        <v>10945</v>
      </c>
    </row>
    <row r="3941" spans="1:2" ht="15">
      <c r="A3941" s="77" t="s">
        <v>7653</v>
      </c>
      <c r="B3941" s="76" t="s">
        <v>10945</v>
      </c>
    </row>
    <row r="3942" spans="1:2" ht="15">
      <c r="A3942" s="77" t="s">
        <v>7654</v>
      </c>
      <c r="B3942" s="76" t="s">
        <v>10945</v>
      </c>
    </row>
    <row r="3943" spans="1:2" ht="15">
      <c r="A3943" s="77" t="s">
        <v>7655</v>
      </c>
      <c r="B3943" s="76" t="s">
        <v>10945</v>
      </c>
    </row>
    <row r="3944" spans="1:2" ht="15">
      <c r="A3944" s="77" t="s">
        <v>7656</v>
      </c>
      <c r="B3944" s="76" t="s">
        <v>10945</v>
      </c>
    </row>
    <row r="3945" spans="1:2" ht="15">
      <c r="A3945" s="77" t="s">
        <v>7657</v>
      </c>
      <c r="B3945" s="76" t="s">
        <v>10945</v>
      </c>
    </row>
    <row r="3946" spans="1:2" ht="15">
      <c r="A3946" s="77" t="s">
        <v>7658</v>
      </c>
      <c r="B3946" s="76" t="s">
        <v>10945</v>
      </c>
    </row>
    <row r="3947" spans="1:2" ht="15">
      <c r="A3947" s="77" t="s">
        <v>7659</v>
      </c>
      <c r="B3947" s="76" t="s">
        <v>10945</v>
      </c>
    </row>
    <row r="3948" spans="1:2" ht="15">
      <c r="A3948" s="77" t="s">
        <v>7660</v>
      </c>
      <c r="B3948" s="76" t="s">
        <v>10945</v>
      </c>
    </row>
    <row r="3949" spans="1:2" ht="15">
      <c r="A3949" s="77" t="s">
        <v>7661</v>
      </c>
      <c r="B3949" s="76" t="s">
        <v>10945</v>
      </c>
    </row>
    <row r="3950" spans="1:2" ht="15">
      <c r="A3950" s="77" t="s">
        <v>7662</v>
      </c>
      <c r="B3950" s="76" t="s">
        <v>10945</v>
      </c>
    </row>
    <row r="3951" spans="1:2" ht="15">
      <c r="A3951" s="77" t="s">
        <v>7663</v>
      </c>
      <c r="B3951" s="76" t="s">
        <v>10945</v>
      </c>
    </row>
    <row r="3952" spans="1:2" ht="15">
      <c r="A3952" s="77" t="s">
        <v>7664</v>
      </c>
      <c r="B3952" s="76" t="s">
        <v>10945</v>
      </c>
    </row>
    <row r="3953" spans="1:2" ht="15">
      <c r="A3953" s="77" t="s">
        <v>7665</v>
      </c>
      <c r="B3953" s="76" t="s">
        <v>10945</v>
      </c>
    </row>
    <row r="3954" spans="1:2" ht="15">
      <c r="A3954" s="77" t="s">
        <v>7666</v>
      </c>
      <c r="B3954" s="76" t="s">
        <v>10945</v>
      </c>
    </row>
    <row r="3955" spans="1:2" ht="15">
      <c r="A3955" s="77" t="s">
        <v>7667</v>
      </c>
      <c r="B3955" s="76" t="s">
        <v>10945</v>
      </c>
    </row>
    <row r="3956" spans="1:2" ht="15">
      <c r="A3956" s="77" t="s">
        <v>7668</v>
      </c>
      <c r="B3956" s="76" t="s">
        <v>10945</v>
      </c>
    </row>
    <row r="3957" spans="1:2" ht="15">
      <c r="A3957" s="77" t="s">
        <v>7669</v>
      </c>
      <c r="B3957" s="76" t="s">
        <v>10945</v>
      </c>
    </row>
    <row r="3958" spans="1:2" ht="15">
      <c r="A3958" s="77" t="s">
        <v>7670</v>
      </c>
      <c r="B3958" s="76" t="s">
        <v>10945</v>
      </c>
    </row>
    <row r="3959" spans="1:2" ht="15">
      <c r="A3959" s="77" t="s">
        <v>7671</v>
      </c>
      <c r="B3959" s="76" t="s">
        <v>10945</v>
      </c>
    </row>
    <row r="3960" spans="1:2" ht="15">
      <c r="A3960" s="77" t="s">
        <v>7672</v>
      </c>
      <c r="B3960" s="76" t="s">
        <v>10945</v>
      </c>
    </row>
    <row r="3961" spans="1:2" ht="15">
      <c r="A3961" s="77" t="s">
        <v>7673</v>
      </c>
      <c r="B3961" s="76" t="s">
        <v>10945</v>
      </c>
    </row>
    <row r="3962" spans="1:2" ht="15">
      <c r="A3962" s="77" t="s">
        <v>7674</v>
      </c>
      <c r="B3962" s="76" t="s">
        <v>10945</v>
      </c>
    </row>
    <row r="3963" spans="1:2" ht="15">
      <c r="A3963" s="77" t="s">
        <v>7675</v>
      </c>
      <c r="B3963" s="76" t="s">
        <v>10945</v>
      </c>
    </row>
    <row r="3964" spans="1:2" ht="15">
      <c r="A3964" s="77" t="s">
        <v>7676</v>
      </c>
      <c r="B3964" s="76" t="s">
        <v>10945</v>
      </c>
    </row>
    <row r="3965" spans="1:2" ht="15">
      <c r="A3965" s="77" t="s">
        <v>7677</v>
      </c>
      <c r="B3965" s="76" t="s">
        <v>10945</v>
      </c>
    </row>
    <row r="3966" spans="1:2" ht="15">
      <c r="A3966" s="77" t="s">
        <v>7678</v>
      </c>
      <c r="B3966" s="76" t="s">
        <v>10945</v>
      </c>
    </row>
    <row r="3967" spans="1:2" ht="15">
      <c r="A3967" s="77" t="s">
        <v>7679</v>
      </c>
      <c r="B3967" s="76" t="s">
        <v>10945</v>
      </c>
    </row>
    <row r="3968" spans="1:2" ht="15">
      <c r="A3968" s="77" t="s">
        <v>7680</v>
      </c>
      <c r="B3968" s="76" t="s">
        <v>10945</v>
      </c>
    </row>
    <row r="3969" spans="1:2" ht="15">
      <c r="A3969" s="77" t="s">
        <v>7681</v>
      </c>
      <c r="B3969" s="76" t="s">
        <v>10945</v>
      </c>
    </row>
    <row r="3970" spans="1:2" ht="15">
      <c r="A3970" s="77" t="s">
        <v>7682</v>
      </c>
      <c r="B3970" s="76" t="s">
        <v>10945</v>
      </c>
    </row>
    <row r="3971" spans="1:2" ht="15">
      <c r="A3971" s="77" t="s">
        <v>7683</v>
      </c>
      <c r="B3971" s="76" t="s">
        <v>10945</v>
      </c>
    </row>
    <row r="3972" spans="1:2" ht="15">
      <c r="A3972" s="77" t="s">
        <v>7684</v>
      </c>
      <c r="B3972" s="76" t="s">
        <v>10945</v>
      </c>
    </row>
    <row r="3973" spans="1:2" ht="15">
      <c r="A3973" s="77" t="s">
        <v>7685</v>
      </c>
      <c r="B3973" s="76" t="s">
        <v>10945</v>
      </c>
    </row>
    <row r="3974" spans="1:2" ht="15">
      <c r="A3974" s="77" t="s">
        <v>7686</v>
      </c>
      <c r="B3974" s="76" t="s">
        <v>10945</v>
      </c>
    </row>
    <row r="3975" spans="1:2" ht="15">
      <c r="A3975" s="77" t="s">
        <v>7687</v>
      </c>
      <c r="B3975" s="76" t="s">
        <v>10945</v>
      </c>
    </row>
    <row r="3976" spans="1:2" ht="15">
      <c r="A3976" s="77" t="s">
        <v>7688</v>
      </c>
      <c r="B3976" s="76" t="s">
        <v>10945</v>
      </c>
    </row>
    <row r="3977" spans="1:2" ht="15">
      <c r="A3977" s="77" t="s">
        <v>7689</v>
      </c>
      <c r="B3977" s="76" t="s">
        <v>10945</v>
      </c>
    </row>
    <row r="3978" spans="1:2" ht="15">
      <c r="A3978" s="77" t="s">
        <v>7690</v>
      </c>
      <c r="B3978" s="76" t="s">
        <v>10945</v>
      </c>
    </row>
    <row r="3979" spans="1:2" ht="15">
      <c r="A3979" s="77" t="s">
        <v>7691</v>
      </c>
      <c r="B3979" s="76" t="s">
        <v>10945</v>
      </c>
    </row>
    <row r="3980" spans="1:2" ht="15">
      <c r="A3980" s="77" t="s">
        <v>7692</v>
      </c>
      <c r="B3980" s="76" t="s">
        <v>10945</v>
      </c>
    </row>
    <row r="3981" spans="1:2" ht="15">
      <c r="A3981" s="77" t="s">
        <v>7693</v>
      </c>
      <c r="B3981" s="76" t="s">
        <v>10945</v>
      </c>
    </row>
    <row r="3982" spans="1:2" ht="15">
      <c r="A3982" s="77" t="s">
        <v>7694</v>
      </c>
      <c r="B3982" s="76" t="s">
        <v>10945</v>
      </c>
    </row>
    <row r="3983" spans="1:2" ht="15">
      <c r="A3983" s="77" t="s">
        <v>7695</v>
      </c>
      <c r="B3983" s="76" t="s">
        <v>10945</v>
      </c>
    </row>
    <row r="3984" spans="1:2" ht="15">
      <c r="A3984" s="77" t="s">
        <v>7696</v>
      </c>
      <c r="B3984" s="76" t="s">
        <v>10945</v>
      </c>
    </row>
    <row r="3985" spans="1:2" ht="15">
      <c r="A3985" s="77" t="s">
        <v>7697</v>
      </c>
      <c r="B3985" s="76" t="s">
        <v>10945</v>
      </c>
    </row>
    <row r="3986" spans="1:2" ht="15">
      <c r="A3986" s="77" t="s">
        <v>7698</v>
      </c>
      <c r="B3986" s="76" t="s">
        <v>10945</v>
      </c>
    </row>
    <row r="3987" spans="1:2" ht="15">
      <c r="A3987" s="77" t="s">
        <v>7699</v>
      </c>
      <c r="B3987" s="76" t="s">
        <v>10945</v>
      </c>
    </row>
    <row r="3988" spans="1:2" ht="15">
      <c r="A3988" s="77" t="s">
        <v>7700</v>
      </c>
      <c r="B3988" s="76" t="s">
        <v>10945</v>
      </c>
    </row>
    <row r="3989" spans="1:2" ht="15">
      <c r="A3989" s="77" t="s">
        <v>7701</v>
      </c>
      <c r="B3989" s="76" t="s">
        <v>10945</v>
      </c>
    </row>
    <row r="3990" spans="1:2" ht="15">
      <c r="A3990" s="77" t="s">
        <v>7702</v>
      </c>
      <c r="B3990" s="76" t="s">
        <v>10945</v>
      </c>
    </row>
    <row r="3991" spans="1:2" ht="15">
      <c r="A3991" s="77" t="s">
        <v>7703</v>
      </c>
      <c r="B3991" s="76" t="s">
        <v>10945</v>
      </c>
    </row>
    <row r="3992" spans="1:2" ht="15">
      <c r="A3992" s="77" t="s">
        <v>7704</v>
      </c>
      <c r="B3992" s="76" t="s">
        <v>10945</v>
      </c>
    </row>
    <row r="3993" spans="1:2" ht="15">
      <c r="A3993" s="77" t="s">
        <v>7705</v>
      </c>
      <c r="B3993" s="76" t="s">
        <v>10945</v>
      </c>
    </row>
    <row r="3994" spans="1:2" ht="15">
      <c r="A3994" s="77" t="s">
        <v>7706</v>
      </c>
      <c r="B3994" s="76" t="s">
        <v>10945</v>
      </c>
    </row>
    <row r="3995" spans="1:2" ht="15">
      <c r="A3995" s="77" t="s">
        <v>7707</v>
      </c>
      <c r="B3995" s="76" t="s">
        <v>10945</v>
      </c>
    </row>
    <row r="3996" spans="1:2" ht="15">
      <c r="A3996" s="77" t="s">
        <v>7708</v>
      </c>
      <c r="B3996" s="76" t="s">
        <v>10945</v>
      </c>
    </row>
    <row r="3997" spans="1:2" ht="15">
      <c r="A3997" s="77" t="s">
        <v>7709</v>
      </c>
      <c r="B3997" s="76" t="s">
        <v>10945</v>
      </c>
    </row>
    <row r="3998" spans="1:2" ht="15">
      <c r="A3998" s="77" t="s">
        <v>7710</v>
      </c>
      <c r="B3998" s="76" t="s">
        <v>10945</v>
      </c>
    </row>
    <row r="3999" spans="1:2" ht="15">
      <c r="A3999" s="77" t="s">
        <v>7711</v>
      </c>
      <c r="B3999" s="76" t="s">
        <v>10945</v>
      </c>
    </row>
    <row r="4000" spans="1:2" ht="15">
      <c r="A4000" s="77" t="s">
        <v>7712</v>
      </c>
      <c r="B4000" s="76" t="s">
        <v>10945</v>
      </c>
    </row>
    <row r="4001" spans="1:2" ht="15">
      <c r="A4001" s="77" t="s">
        <v>7713</v>
      </c>
      <c r="B4001" s="76" t="s">
        <v>10945</v>
      </c>
    </row>
    <row r="4002" spans="1:2" ht="15">
      <c r="A4002" s="77" t="s">
        <v>7714</v>
      </c>
      <c r="B4002" s="76" t="s">
        <v>10945</v>
      </c>
    </row>
    <row r="4003" spans="1:2" ht="15">
      <c r="A4003" s="77" t="s">
        <v>7715</v>
      </c>
      <c r="B4003" s="76" t="s">
        <v>10945</v>
      </c>
    </row>
    <row r="4004" spans="1:2" ht="15">
      <c r="A4004" s="77" t="s">
        <v>7716</v>
      </c>
      <c r="B4004" s="76" t="s">
        <v>10945</v>
      </c>
    </row>
    <row r="4005" spans="1:2" ht="15">
      <c r="A4005" s="77" t="s">
        <v>7717</v>
      </c>
      <c r="B4005" s="76" t="s">
        <v>10945</v>
      </c>
    </row>
    <row r="4006" spans="1:2" ht="15">
      <c r="A4006" s="77" t="s">
        <v>7718</v>
      </c>
      <c r="B4006" s="76" t="s">
        <v>10945</v>
      </c>
    </row>
    <row r="4007" spans="1:2" ht="15">
      <c r="A4007" s="77" t="s">
        <v>7719</v>
      </c>
      <c r="B4007" s="76" t="s">
        <v>10945</v>
      </c>
    </row>
    <row r="4008" spans="1:2" ht="15">
      <c r="A4008" s="77" t="s">
        <v>7720</v>
      </c>
      <c r="B4008" s="76" t="s">
        <v>10945</v>
      </c>
    </row>
    <row r="4009" spans="1:2" ht="15">
      <c r="A4009" s="77" t="s">
        <v>7721</v>
      </c>
      <c r="B4009" s="76" t="s">
        <v>10945</v>
      </c>
    </row>
    <row r="4010" spans="1:2" ht="15">
      <c r="A4010" s="77" t="s">
        <v>7722</v>
      </c>
      <c r="B4010" s="76" t="s">
        <v>10945</v>
      </c>
    </row>
    <row r="4011" spans="1:2" ht="15">
      <c r="A4011" s="77" t="s">
        <v>7723</v>
      </c>
      <c r="B4011" s="76" t="s">
        <v>10945</v>
      </c>
    </row>
    <row r="4012" spans="1:2" ht="15">
      <c r="A4012" s="77" t="s">
        <v>7724</v>
      </c>
      <c r="B4012" s="76" t="s">
        <v>10945</v>
      </c>
    </row>
    <row r="4013" spans="1:2" ht="15">
      <c r="A4013" s="77" t="s">
        <v>7725</v>
      </c>
      <c r="B4013" s="76" t="s">
        <v>10945</v>
      </c>
    </row>
    <row r="4014" spans="1:2" ht="15">
      <c r="A4014" s="77" t="s">
        <v>7726</v>
      </c>
      <c r="B4014" s="76" t="s">
        <v>10945</v>
      </c>
    </row>
    <row r="4015" spans="1:2" ht="15">
      <c r="A4015" s="77" t="s">
        <v>7727</v>
      </c>
      <c r="B4015" s="76" t="s">
        <v>10945</v>
      </c>
    </row>
    <row r="4016" spans="1:2" ht="15">
      <c r="A4016" s="77" t="s">
        <v>7728</v>
      </c>
      <c r="B4016" s="76" t="s">
        <v>10945</v>
      </c>
    </row>
    <row r="4017" spans="1:2" ht="15">
      <c r="A4017" s="77" t="s">
        <v>7729</v>
      </c>
      <c r="B4017" s="76" t="s">
        <v>10945</v>
      </c>
    </row>
    <row r="4018" spans="1:2" ht="15">
      <c r="A4018" s="77" t="s">
        <v>7730</v>
      </c>
      <c r="B4018" s="76" t="s">
        <v>10945</v>
      </c>
    </row>
    <row r="4019" spans="1:2" ht="15">
      <c r="A4019" s="77" t="s">
        <v>7731</v>
      </c>
      <c r="B4019" s="76" t="s">
        <v>10945</v>
      </c>
    </row>
    <row r="4020" spans="1:2" ht="15">
      <c r="A4020" s="77" t="s">
        <v>7732</v>
      </c>
      <c r="B4020" s="76" t="s">
        <v>10945</v>
      </c>
    </row>
    <row r="4021" spans="1:2" ht="15">
      <c r="A4021" s="77" t="s">
        <v>7733</v>
      </c>
      <c r="B4021" s="76" t="s">
        <v>10945</v>
      </c>
    </row>
    <row r="4022" spans="1:2" ht="15">
      <c r="A4022" s="77" t="s">
        <v>7734</v>
      </c>
      <c r="B4022" s="76" t="s">
        <v>10945</v>
      </c>
    </row>
    <row r="4023" spans="1:2" ht="15">
      <c r="A4023" s="77" t="s">
        <v>7735</v>
      </c>
      <c r="B4023" s="76" t="s">
        <v>10945</v>
      </c>
    </row>
    <row r="4024" spans="1:2" ht="15">
      <c r="A4024" s="77" t="s">
        <v>7736</v>
      </c>
      <c r="B4024" s="76" t="s">
        <v>10945</v>
      </c>
    </row>
    <row r="4025" spans="1:2" ht="15">
      <c r="A4025" s="77" t="s">
        <v>7737</v>
      </c>
      <c r="B4025" s="76" t="s">
        <v>10945</v>
      </c>
    </row>
    <row r="4026" spans="1:2" ht="15">
      <c r="A4026" s="77" t="s">
        <v>7738</v>
      </c>
      <c r="B4026" s="76" t="s">
        <v>10945</v>
      </c>
    </row>
    <row r="4027" spans="1:2" ht="15">
      <c r="A4027" s="77" t="s">
        <v>7739</v>
      </c>
      <c r="B4027" s="76" t="s">
        <v>10945</v>
      </c>
    </row>
    <row r="4028" spans="1:2" ht="15">
      <c r="A4028" s="77" t="s">
        <v>7740</v>
      </c>
      <c r="B4028" s="76" t="s">
        <v>10945</v>
      </c>
    </row>
    <row r="4029" spans="1:2" ht="15">
      <c r="A4029" s="77" t="s">
        <v>7741</v>
      </c>
      <c r="B4029" s="76" t="s">
        <v>10945</v>
      </c>
    </row>
    <row r="4030" spans="1:2" ht="15">
      <c r="A4030" s="77" t="s">
        <v>7742</v>
      </c>
      <c r="B4030" s="76" t="s">
        <v>10945</v>
      </c>
    </row>
    <row r="4031" spans="1:2" ht="15">
      <c r="A4031" s="77" t="s">
        <v>2708</v>
      </c>
      <c r="B4031" s="76" t="s">
        <v>10945</v>
      </c>
    </row>
    <row r="4032" spans="1:2" ht="15">
      <c r="A4032" s="77" t="s">
        <v>7743</v>
      </c>
      <c r="B4032" s="76" t="s">
        <v>10945</v>
      </c>
    </row>
    <row r="4033" spans="1:2" ht="15">
      <c r="A4033" s="77" t="s">
        <v>7744</v>
      </c>
      <c r="B4033" s="76" t="s">
        <v>10945</v>
      </c>
    </row>
    <row r="4034" spans="1:2" ht="15">
      <c r="A4034" s="77" t="s">
        <v>7745</v>
      </c>
      <c r="B4034" s="76" t="s">
        <v>10945</v>
      </c>
    </row>
    <row r="4035" spans="1:2" ht="15">
      <c r="A4035" s="77" t="s">
        <v>7746</v>
      </c>
      <c r="B4035" s="76" t="s">
        <v>10945</v>
      </c>
    </row>
    <row r="4036" spans="1:2" ht="15">
      <c r="A4036" s="77" t="s">
        <v>7747</v>
      </c>
      <c r="B4036" s="76" t="s">
        <v>10945</v>
      </c>
    </row>
    <row r="4037" spans="1:2" ht="15">
      <c r="A4037" s="77" t="s">
        <v>7748</v>
      </c>
      <c r="B4037" s="76" t="s">
        <v>10945</v>
      </c>
    </row>
    <row r="4038" spans="1:2" ht="15">
      <c r="A4038" s="77" t="s">
        <v>7749</v>
      </c>
      <c r="B4038" s="76" t="s">
        <v>10945</v>
      </c>
    </row>
    <row r="4039" spans="1:2" ht="15">
      <c r="A4039" s="77" t="s">
        <v>7750</v>
      </c>
      <c r="B4039" s="76" t="s">
        <v>10945</v>
      </c>
    </row>
    <row r="4040" spans="1:2" ht="15">
      <c r="A4040" s="77" t="s">
        <v>7751</v>
      </c>
      <c r="B4040" s="76" t="s">
        <v>10945</v>
      </c>
    </row>
    <row r="4041" spans="1:2" ht="15">
      <c r="A4041" s="77" t="s">
        <v>7752</v>
      </c>
      <c r="B4041" s="76" t="s">
        <v>10945</v>
      </c>
    </row>
    <row r="4042" spans="1:2" ht="15">
      <c r="A4042" s="77" t="s">
        <v>7753</v>
      </c>
      <c r="B4042" s="76" t="s">
        <v>10945</v>
      </c>
    </row>
    <row r="4043" spans="1:2" ht="15">
      <c r="A4043" s="77" t="s">
        <v>7754</v>
      </c>
      <c r="B4043" s="76" t="s">
        <v>10945</v>
      </c>
    </row>
    <row r="4044" spans="1:2" ht="15">
      <c r="A4044" s="77" t="s">
        <v>7755</v>
      </c>
      <c r="B4044" s="76" t="s">
        <v>10945</v>
      </c>
    </row>
    <row r="4045" spans="1:2" ht="15">
      <c r="A4045" s="77" t="s">
        <v>7756</v>
      </c>
      <c r="B4045" s="76" t="s">
        <v>10945</v>
      </c>
    </row>
    <row r="4046" spans="1:2" ht="15">
      <c r="A4046" s="77" t="s">
        <v>7757</v>
      </c>
      <c r="B4046" s="76" t="s">
        <v>10945</v>
      </c>
    </row>
    <row r="4047" spans="1:2" ht="15">
      <c r="A4047" s="77" t="s">
        <v>7758</v>
      </c>
      <c r="B4047" s="76" t="s">
        <v>10945</v>
      </c>
    </row>
    <row r="4048" spans="1:2" ht="15">
      <c r="A4048" s="77" t="s">
        <v>7759</v>
      </c>
      <c r="B4048" s="76" t="s">
        <v>10945</v>
      </c>
    </row>
    <row r="4049" spans="1:2" ht="15">
      <c r="A4049" s="77" t="s">
        <v>7760</v>
      </c>
      <c r="B4049" s="76" t="s">
        <v>10945</v>
      </c>
    </row>
    <row r="4050" spans="1:2" ht="15">
      <c r="A4050" s="77" t="s">
        <v>7761</v>
      </c>
      <c r="B4050" s="76" t="s">
        <v>10945</v>
      </c>
    </row>
    <row r="4051" spans="1:2" ht="15">
      <c r="A4051" s="77" t="s">
        <v>7762</v>
      </c>
      <c r="B4051" s="76" t="s">
        <v>10945</v>
      </c>
    </row>
    <row r="4052" spans="1:2" ht="15">
      <c r="A4052" s="77" t="s">
        <v>3186</v>
      </c>
      <c r="B4052" s="76" t="s">
        <v>10945</v>
      </c>
    </row>
    <row r="4053" spans="1:2" ht="15">
      <c r="A4053" s="77" t="s">
        <v>7763</v>
      </c>
      <c r="B4053" s="76" t="s">
        <v>10945</v>
      </c>
    </row>
    <row r="4054" spans="1:2" ht="15">
      <c r="A4054" s="77" t="s">
        <v>7764</v>
      </c>
      <c r="B4054" s="76" t="s">
        <v>10945</v>
      </c>
    </row>
    <row r="4055" spans="1:2" ht="15">
      <c r="A4055" s="77" t="s">
        <v>7765</v>
      </c>
      <c r="B4055" s="76" t="s">
        <v>10945</v>
      </c>
    </row>
    <row r="4056" spans="1:2" ht="15">
      <c r="A4056" s="77" t="s">
        <v>7766</v>
      </c>
      <c r="B4056" s="76" t="s">
        <v>10945</v>
      </c>
    </row>
    <row r="4057" spans="1:2" ht="15">
      <c r="A4057" s="77" t="s">
        <v>7767</v>
      </c>
      <c r="B4057" s="76" t="s">
        <v>10945</v>
      </c>
    </row>
    <row r="4058" spans="1:2" ht="15">
      <c r="A4058" s="77" t="s">
        <v>7768</v>
      </c>
      <c r="B4058" s="76" t="s">
        <v>10945</v>
      </c>
    </row>
    <row r="4059" spans="1:2" ht="15">
      <c r="A4059" s="77" t="s">
        <v>7769</v>
      </c>
      <c r="B4059" s="76" t="s">
        <v>10945</v>
      </c>
    </row>
    <row r="4060" spans="1:2" ht="15">
      <c r="A4060" s="77" t="s">
        <v>7770</v>
      </c>
      <c r="B4060" s="76" t="s">
        <v>10945</v>
      </c>
    </row>
    <row r="4061" spans="1:2" ht="15">
      <c r="A4061" s="77" t="s">
        <v>7771</v>
      </c>
      <c r="B4061" s="76" t="s">
        <v>10945</v>
      </c>
    </row>
    <row r="4062" spans="1:2" ht="15">
      <c r="A4062" s="77" t="s">
        <v>7772</v>
      </c>
      <c r="B4062" s="76" t="s">
        <v>10945</v>
      </c>
    </row>
    <row r="4063" spans="1:2" ht="15">
      <c r="A4063" s="77" t="s">
        <v>7773</v>
      </c>
      <c r="B4063" s="76" t="s">
        <v>10945</v>
      </c>
    </row>
    <row r="4064" spans="1:2" ht="15">
      <c r="A4064" s="77" t="s">
        <v>7774</v>
      </c>
      <c r="B4064" s="76" t="s">
        <v>10945</v>
      </c>
    </row>
    <row r="4065" spans="1:2" ht="15">
      <c r="A4065" s="77" t="s">
        <v>7775</v>
      </c>
      <c r="B4065" s="76" t="s">
        <v>10945</v>
      </c>
    </row>
    <row r="4066" spans="1:2" ht="15">
      <c r="A4066" s="77" t="s">
        <v>3591</v>
      </c>
      <c r="B4066" s="76" t="s">
        <v>10945</v>
      </c>
    </row>
    <row r="4067" spans="1:2" ht="15">
      <c r="A4067" s="77" t="s">
        <v>7776</v>
      </c>
      <c r="B4067" s="76" t="s">
        <v>10945</v>
      </c>
    </row>
    <row r="4068" spans="1:2" ht="15">
      <c r="A4068" s="77" t="s">
        <v>7777</v>
      </c>
      <c r="B4068" s="76" t="s">
        <v>10945</v>
      </c>
    </row>
    <row r="4069" spans="1:2" ht="15">
      <c r="A4069" s="77" t="s">
        <v>7778</v>
      </c>
      <c r="B4069" s="76" t="s">
        <v>10945</v>
      </c>
    </row>
    <row r="4070" spans="1:2" ht="15">
      <c r="A4070" s="77" t="s">
        <v>7779</v>
      </c>
      <c r="B4070" s="76" t="s">
        <v>10945</v>
      </c>
    </row>
    <row r="4071" spans="1:2" ht="15">
      <c r="A4071" s="77" t="s">
        <v>7780</v>
      </c>
      <c r="B4071" s="76" t="s">
        <v>10945</v>
      </c>
    </row>
    <row r="4072" spans="1:2" ht="15">
      <c r="A4072" s="77" t="s">
        <v>7781</v>
      </c>
      <c r="B4072" s="76" t="s">
        <v>10945</v>
      </c>
    </row>
    <row r="4073" spans="1:2" ht="15">
      <c r="A4073" s="77" t="s">
        <v>7782</v>
      </c>
      <c r="B4073" s="76" t="s">
        <v>10945</v>
      </c>
    </row>
    <row r="4074" spans="1:2" ht="15">
      <c r="A4074" s="77" t="s">
        <v>7783</v>
      </c>
      <c r="B4074" s="76" t="s">
        <v>10945</v>
      </c>
    </row>
    <row r="4075" spans="1:2" ht="15">
      <c r="A4075" s="77" t="s">
        <v>7784</v>
      </c>
      <c r="B4075" s="76" t="s">
        <v>10945</v>
      </c>
    </row>
    <row r="4076" spans="1:2" ht="15">
      <c r="A4076" s="77" t="s">
        <v>7785</v>
      </c>
      <c r="B4076" s="76" t="s">
        <v>10945</v>
      </c>
    </row>
    <row r="4077" spans="1:2" ht="15">
      <c r="A4077" s="77" t="s">
        <v>7786</v>
      </c>
      <c r="B4077" s="76" t="s">
        <v>10945</v>
      </c>
    </row>
    <row r="4078" spans="1:2" ht="15">
      <c r="A4078" s="77" t="s">
        <v>7787</v>
      </c>
      <c r="B4078" s="76" t="s">
        <v>10945</v>
      </c>
    </row>
    <row r="4079" spans="1:2" ht="15">
      <c r="A4079" s="77" t="s">
        <v>7788</v>
      </c>
      <c r="B4079" s="76" t="s">
        <v>10945</v>
      </c>
    </row>
    <row r="4080" spans="1:2" ht="15">
      <c r="A4080" s="77" t="s">
        <v>7789</v>
      </c>
      <c r="B4080" s="76" t="s">
        <v>10945</v>
      </c>
    </row>
    <row r="4081" spans="1:2" ht="15">
      <c r="A4081" s="77" t="s">
        <v>7790</v>
      </c>
      <c r="B4081" s="76" t="s">
        <v>10945</v>
      </c>
    </row>
    <row r="4082" spans="1:2" ht="15">
      <c r="A4082" s="77" t="s">
        <v>7791</v>
      </c>
      <c r="B4082" s="76" t="s">
        <v>10945</v>
      </c>
    </row>
    <row r="4083" spans="1:2" ht="15">
      <c r="A4083" s="77" t="s">
        <v>7792</v>
      </c>
      <c r="B4083" s="76" t="s">
        <v>10945</v>
      </c>
    </row>
    <row r="4084" spans="1:2" ht="15">
      <c r="A4084" s="77" t="s">
        <v>7793</v>
      </c>
      <c r="B4084" s="76" t="s">
        <v>10945</v>
      </c>
    </row>
    <row r="4085" spans="1:2" ht="15">
      <c r="A4085" s="77" t="s">
        <v>7794</v>
      </c>
      <c r="B4085" s="76" t="s">
        <v>10945</v>
      </c>
    </row>
    <row r="4086" spans="1:2" ht="15">
      <c r="A4086" s="77" t="s">
        <v>7795</v>
      </c>
      <c r="B4086" s="76" t="s">
        <v>10945</v>
      </c>
    </row>
    <row r="4087" spans="1:2" ht="15">
      <c r="A4087" s="77" t="s">
        <v>7796</v>
      </c>
      <c r="B4087" s="76" t="s">
        <v>10945</v>
      </c>
    </row>
    <row r="4088" spans="1:2" ht="15">
      <c r="A4088" s="77" t="s">
        <v>7797</v>
      </c>
      <c r="B4088" s="76" t="s">
        <v>10945</v>
      </c>
    </row>
    <row r="4089" spans="1:2" ht="15">
      <c r="A4089" s="77" t="s">
        <v>7798</v>
      </c>
      <c r="B4089" s="76" t="s">
        <v>10945</v>
      </c>
    </row>
    <row r="4090" spans="1:2" ht="15">
      <c r="A4090" s="77" t="s">
        <v>7799</v>
      </c>
      <c r="B4090" s="76" t="s">
        <v>10945</v>
      </c>
    </row>
    <row r="4091" spans="1:2" ht="15">
      <c r="A4091" s="77" t="s">
        <v>7800</v>
      </c>
      <c r="B4091" s="76" t="s">
        <v>10945</v>
      </c>
    </row>
    <row r="4092" spans="1:2" ht="15">
      <c r="A4092" s="77" t="s">
        <v>7801</v>
      </c>
      <c r="B4092" s="76" t="s">
        <v>10945</v>
      </c>
    </row>
    <row r="4093" spans="1:2" ht="15">
      <c r="A4093" s="77" t="s">
        <v>7802</v>
      </c>
      <c r="B4093" s="76" t="s">
        <v>10945</v>
      </c>
    </row>
    <row r="4094" spans="1:2" ht="15">
      <c r="A4094" s="77" t="s">
        <v>7803</v>
      </c>
      <c r="B4094" s="76" t="s">
        <v>10945</v>
      </c>
    </row>
    <row r="4095" spans="1:2" ht="15">
      <c r="A4095" s="77" t="s">
        <v>7804</v>
      </c>
      <c r="B4095" s="76" t="s">
        <v>10945</v>
      </c>
    </row>
    <row r="4096" spans="1:2" ht="15">
      <c r="A4096" s="77" t="s">
        <v>7805</v>
      </c>
      <c r="B4096" s="76" t="s">
        <v>10945</v>
      </c>
    </row>
    <row r="4097" spans="1:2" ht="15">
      <c r="A4097" s="77" t="s">
        <v>7806</v>
      </c>
      <c r="B4097" s="76" t="s">
        <v>10945</v>
      </c>
    </row>
    <row r="4098" spans="1:2" ht="15">
      <c r="A4098" s="77" t="s">
        <v>7807</v>
      </c>
      <c r="B4098" s="76" t="s">
        <v>10945</v>
      </c>
    </row>
    <row r="4099" spans="1:2" ht="15">
      <c r="A4099" s="77" t="s">
        <v>7808</v>
      </c>
      <c r="B4099" s="76" t="s">
        <v>10945</v>
      </c>
    </row>
    <row r="4100" spans="1:2" ht="15">
      <c r="A4100" s="77" t="s">
        <v>7809</v>
      </c>
      <c r="B4100" s="76" t="s">
        <v>10945</v>
      </c>
    </row>
    <row r="4101" spans="1:2" ht="15">
      <c r="A4101" s="77" t="s">
        <v>7810</v>
      </c>
      <c r="B4101" s="76" t="s">
        <v>10945</v>
      </c>
    </row>
    <row r="4102" spans="1:2" ht="15">
      <c r="A4102" s="77" t="s">
        <v>7811</v>
      </c>
      <c r="B4102" s="76" t="s">
        <v>10945</v>
      </c>
    </row>
    <row r="4103" spans="1:2" ht="15">
      <c r="A4103" s="77" t="s">
        <v>7812</v>
      </c>
      <c r="B4103" s="76" t="s">
        <v>10945</v>
      </c>
    </row>
    <row r="4104" spans="1:2" ht="15">
      <c r="A4104" s="77" t="s">
        <v>7813</v>
      </c>
      <c r="B4104" s="76" t="s">
        <v>10945</v>
      </c>
    </row>
    <row r="4105" spans="1:2" ht="15">
      <c r="A4105" s="77" t="s">
        <v>7814</v>
      </c>
      <c r="B4105" s="76" t="s">
        <v>10945</v>
      </c>
    </row>
    <row r="4106" spans="1:2" ht="15">
      <c r="A4106" s="77" t="s">
        <v>7815</v>
      </c>
      <c r="B4106" s="76" t="s">
        <v>10945</v>
      </c>
    </row>
    <row r="4107" spans="1:2" ht="15">
      <c r="A4107" s="77" t="s">
        <v>7816</v>
      </c>
      <c r="B4107" s="76" t="s">
        <v>10945</v>
      </c>
    </row>
    <row r="4108" spans="1:2" ht="15">
      <c r="A4108" s="77" t="s">
        <v>7817</v>
      </c>
      <c r="B4108" s="76" t="s">
        <v>10945</v>
      </c>
    </row>
    <row r="4109" spans="1:2" ht="15">
      <c r="A4109" s="77" t="s">
        <v>7818</v>
      </c>
      <c r="B4109" s="76" t="s">
        <v>10945</v>
      </c>
    </row>
    <row r="4110" spans="1:2" ht="15">
      <c r="A4110" s="77" t="s">
        <v>7819</v>
      </c>
      <c r="B4110" s="76" t="s">
        <v>10945</v>
      </c>
    </row>
    <row r="4111" spans="1:2" ht="15">
      <c r="A4111" s="77" t="s">
        <v>3831</v>
      </c>
      <c r="B4111" s="76" t="s">
        <v>10945</v>
      </c>
    </row>
    <row r="4112" spans="1:2" ht="15">
      <c r="A4112" s="77" t="s">
        <v>7820</v>
      </c>
      <c r="B4112" s="76" t="s">
        <v>10945</v>
      </c>
    </row>
    <row r="4113" spans="1:2" ht="15">
      <c r="A4113" s="77" t="s">
        <v>7821</v>
      </c>
      <c r="B4113" s="76" t="s">
        <v>10945</v>
      </c>
    </row>
    <row r="4114" spans="1:2" ht="15">
      <c r="A4114" s="77" t="s">
        <v>7822</v>
      </c>
      <c r="B4114" s="76" t="s">
        <v>10945</v>
      </c>
    </row>
    <row r="4115" spans="1:2" ht="15">
      <c r="A4115" s="77" t="b">
        <v>0</v>
      </c>
      <c r="B4115" s="76" t="s">
        <v>10945</v>
      </c>
    </row>
    <row r="4116" spans="1:2" ht="15">
      <c r="A4116" s="77" t="s">
        <v>7823</v>
      </c>
      <c r="B4116" s="76" t="s">
        <v>10945</v>
      </c>
    </row>
    <row r="4117" spans="1:2" ht="15">
      <c r="A4117" s="77" t="s">
        <v>7824</v>
      </c>
      <c r="B4117" s="76" t="s">
        <v>10945</v>
      </c>
    </row>
    <row r="4118" spans="1:2" ht="15">
      <c r="A4118" s="77" t="s">
        <v>7825</v>
      </c>
      <c r="B4118" s="76" t="s">
        <v>10945</v>
      </c>
    </row>
    <row r="4119" spans="1:2" ht="15">
      <c r="A4119" s="77" t="s">
        <v>7826</v>
      </c>
      <c r="B4119" s="76" t="s">
        <v>10945</v>
      </c>
    </row>
    <row r="4120" spans="1:2" ht="15">
      <c r="A4120" s="77" t="s">
        <v>7827</v>
      </c>
      <c r="B4120" s="76" t="s">
        <v>10945</v>
      </c>
    </row>
    <row r="4121" spans="1:2" ht="15">
      <c r="A4121" s="77" t="s">
        <v>7828</v>
      </c>
      <c r="B4121" s="76" t="s">
        <v>10945</v>
      </c>
    </row>
    <row r="4122" spans="1:2" ht="15">
      <c r="A4122" s="77" t="s">
        <v>7829</v>
      </c>
      <c r="B4122" s="76" t="s">
        <v>10945</v>
      </c>
    </row>
    <row r="4123" spans="1:2" ht="15">
      <c r="A4123" s="77" t="s">
        <v>7830</v>
      </c>
      <c r="B4123" s="76" t="s">
        <v>10945</v>
      </c>
    </row>
    <row r="4124" spans="1:2" ht="15">
      <c r="A4124" s="77" t="s">
        <v>7831</v>
      </c>
      <c r="B4124" s="76" t="s">
        <v>10945</v>
      </c>
    </row>
    <row r="4125" spans="1:2" ht="15">
      <c r="A4125" s="77" t="s">
        <v>7832</v>
      </c>
      <c r="B4125" s="76" t="s">
        <v>10945</v>
      </c>
    </row>
    <row r="4126" spans="1:2" ht="15">
      <c r="A4126" s="77" t="s">
        <v>7833</v>
      </c>
      <c r="B4126" s="76" t="s">
        <v>10945</v>
      </c>
    </row>
    <row r="4127" spans="1:2" ht="15">
      <c r="A4127" s="77" t="s">
        <v>7834</v>
      </c>
      <c r="B4127" s="76" t="s">
        <v>10945</v>
      </c>
    </row>
    <row r="4128" spans="1:2" ht="15">
      <c r="A4128" s="77" t="s">
        <v>7835</v>
      </c>
      <c r="B4128" s="76" t="s">
        <v>10945</v>
      </c>
    </row>
    <row r="4129" spans="1:2" ht="15">
      <c r="A4129" s="77" t="s">
        <v>7836</v>
      </c>
      <c r="B4129" s="76" t="s">
        <v>10945</v>
      </c>
    </row>
    <row r="4130" spans="1:2" ht="15">
      <c r="A4130" s="77" t="s">
        <v>7837</v>
      </c>
      <c r="B4130" s="76" t="s">
        <v>10945</v>
      </c>
    </row>
    <row r="4131" spans="1:2" ht="15">
      <c r="A4131" s="77" t="s">
        <v>7838</v>
      </c>
      <c r="B4131" s="76" t="s">
        <v>10945</v>
      </c>
    </row>
    <row r="4132" spans="1:2" ht="15">
      <c r="A4132" s="77" t="s">
        <v>7839</v>
      </c>
      <c r="B4132" s="76" t="s">
        <v>10945</v>
      </c>
    </row>
    <row r="4133" spans="1:2" ht="15">
      <c r="A4133" s="77" t="s">
        <v>7840</v>
      </c>
      <c r="B4133" s="76" t="s">
        <v>10945</v>
      </c>
    </row>
    <row r="4134" spans="1:2" ht="15">
      <c r="A4134" s="77" t="s">
        <v>7841</v>
      </c>
      <c r="B4134" s="76" t="s">
        <v>10945</v>
      </c>
    </row>
    <row r="4135" spans="1:2" ht="15">
      <c r="A4135" s="77" t="s">
        <v>3313</v>
      </c>
      <c r="B4135" s="76" t="s">
        <v>10945</v>
      </c>
    </row>
    <row r="4136" spans="1:2" ht="15">
      <c r="A4136" s="77" t="s">
        <v>7842</v>
      </c>
      <c r="B4136" s="76" t="s">
        <v>10945</v>
      </c>
    </row>
    <row r="4137" spans="1:2" ht="15">
      <c r="A4137" s="77" t="s">
        <v>7843</v>
      </c>
      <c r="B4137" s="76" t="s">
        <v>10945</v>
      </c>
    </row>
    <row r="4138" spans="1:2" ht="15">
      <c r="A4138" s="77" t="s">
        <v>7844</v>
      </c>
      <c r="B4138" s="76" t="s">
        <v>10945</v>
      </c>
    </row>
    <row r="4139" spans="1:2" ht="15">
      <c r="A4139" s="77" t="s">
        <v>7845</v>
      </c>
      <c r="B4139" s="76" t="s">
        <v>10945</v>
      </c>
    </row>
    <row r="4140" spans="1:2" ht="15">
      <c r="A4140" s="77" t="s">
        <v>7846</v>
      </c>
      <c r="B4140" s="76" t="s">
        <v>10945</v>
      </c>
    </row>
    <row r="4141" spans="1:2" ht="15">
      <c r="A4141" s="77" t="s">
        <v>7847</v>
      </c>
      <c r="B4141" s="76" t="s">
        <v>10945</v>
      </c>
    </row>
    <row r="4142" spans="1:2" ht="15">
      <c r="A4142" s="77" t="s">
        <v>7848</v>
      </c>
      <c r="B4142" s="76" t="s">
        <v>10945</v>
      </c>
    </row>
    <row r="4143" spans="1:2" ht="15">
      <c r="A4143" s="77" t="s">
        <v>7849</v>
      </c>
      <c r="B4143" s="76" t="s">
        <v>10945</v>
      </c>
    </row>
    <row r="4144" spans="1:2" ht="15">
      <c r="A4144" s="77" t="s">
        <v>7850</v>
      </c>
      <c r="B4144" s="76" t="s">
        <v>10945</v>
      </c>
    </row>
    <row r="4145" spans="1:2" ht="15">
      <c r="A4145" s="77" t="s">
        <v>7851</v>
      </c>
      <c r="B4145" s="76" t="s">
        <v>10945</v>
      </c>
    </row>
    <row r="4146" spans="1:2" ht="15">
      <c r="A4146" s="77" t="s">
        <v>7852</v>
      </c>
      <c r="B4146" s="76" t="s">
        <v>10945</v>
      </c>
    </row>
    <row r="4147" spans="1:2" ht="15">
      <c r="A4147" s="77" t="s">
        <v>7853</v>
      </c>
      <c r="B4147" s="76" t="s">
        <v>10945</v>
      </c>
    </row>
    <row r="4148" spans="1:2" ht="15">
      <c r="A4148" s="77" t="s">
        <v>7854</v>
      </c>
      <c r="B4148" s="76" t="s">
        <v>10945</v>
      </c>
    </row>
    <row r="4149" spans="1:2" ht="15">
      <c r="A4149" s="77" t="s">
        <v>7855</v>
      </c>
      <c r="B4149" s="76" t="s">
        <v>10945</v>
      </c>
    </row>
    <row r="4150" spans="1:2" ht="15">
      <c r="A4150" s="77" t="s">
        <v>7856</v>
      </c>
      <c r="B4150" s="76" t="s">
        <v>10945</v>
      </c>
    </row>
    <row r="4151" spans="1:2" ht="15">
      <c r="A4151" s="77" t="s">
        <v>7857</v>
      </c>
      <c r="B4151" s="76" t="s">
        <v>10945</v>
      </c>
    </row>
    <row r="4152" spans="1:2" ht="15">
      <c r="A4152" s="77" t="s">
        <v>7858</v>
      </c>
      <c r="B4152" s="76" t="s">
        <v>10945</v>
      </c>
    </row>
    <row r="4153" spans="1:2" ht="15">
      <c r="A4153" s="77" t="s">
        <v>7859</v>
      </c>
      <c r="B4153" s="76" t="s">
        <v>10945</v>
      </c>
    </row>
    <row r="4154" spans="1:2" ht="15">
      <c r="A4154" s="77" t="s">
        <v>7860</v>
      </c>
      <c r="B4154" s="76" t="s">
        <v>10945</v>
      </c>
    </row>
    <row r="4155" spans="1:2" ht="15">
      <c r="A4155" s="77" t="s">
        <v>7861</v>
      </c>
      <c r="B4155" s="76" t="s">
        <v>10945</v>
      </c>
    </row>
    <row r="4156" spans="1:2" ht="15">
      <c r="A4156" s="77" t="s">
        <v>7862</v>
      </c>
      <c r="B4156" s="76" t="s">
        <v>10945</v>
      </c>
    </row>
    <row r="4157" spans="1:2" ht="15">
      <c r="A4157" s="77" t="s">
        <v>7863</v>
      </c>
      <c r="B4157" s="76" t="s">
        <v>10945</v>
      </c>
    </row>
    <row r="4158" spans="1:2" ht="15">
      <c r="A4158" s="77" t="s">
        <v>7864</v>
      </c>
      <c r="B4158" s="76" t="s">
        <v>10945</v>
      </c>
    </row>
    <row r="4159" spans="1:2" ht="15">
      <c r="A4159" s="77" t="s">
        <v>7865</v>
      </c>
      <c r="B4159" s="76" t="s">
        <v>10945</v>
      </c>
    </row>
    <row r="4160" spans="1:2" ht="15">
      <c r="A4160" s="77" t="s">
        <v>7866</v>
      </c>
      <c r="B4160" s="76" t="s">
        <v>10945</v>
      </c>
    </row>
    <row r="4161" spans="1:2" ht="15">
      <c r="A4161" s="77" t="s">
        <v>7867</v>
      </c>
      <c r="B4161" s="76" t="s">
        <v>10945</v>
      </c>
    </row>
    <row r="4162" spans="1:2" ht="15">
      <c r="A4162" s="77" t="s">
        <v>7868</v>
      </c>
      <c r="B4162" s="76" t="s">
        <v>10945</v>
      </c>
    </row>
    <row r="4163" spans="1:2" ht="15">
      <c r="A4163" s="77" t="s">
        <v>7869</v>
      </c>
      <c r="B4163" s="76" t="s">
        <v>10945</v>
      </c>
    </row>
    <row r="4164" spans="1:2" ht="15">
      <c r="A4164" s="77" t="s">
        <v>7870</v>
      </c>
      <c r="B4164" s="76" t="s">
        <v>10945</v>
      </c>
    </row>
    <row r="4165" spans="1:2" ht="15">
      <c r="A4165" s="77" t="s">
        <v>7871</v>
      </c>
      <c r="B4165" s="76" t="s">
        <v>10945</v>
      </c>
    </row>
    <row r="4166" spans="1:2" ht="15">
      <c r="A4166" s="77" t="s">
        <v>7872</v>
      </c>
      <c r="B4166" s="76" t="s">
        <v>10945</v>
      </c>
    </row>
    <row r="4167" spans="1:2" ht="15">
      <c r="A4167" s="77" t="s">
        <v>7873</v>
      </c>
      <c r="B4167" s="76" t="s">
        <v>10945</v>
      </c>
    </row>
    <row r="4168" spans="1:2" ht="15">
      <c r="A4168" s="77" t="s">
        <v>7874</v>
      </c>
      <c r="B4168" s="76" t="s">
        <v>10945</v>
      </c>
    </row>
    <row r="4169" spans="1:2" ht="15">
      <c r="A4169" s="77" t="s">
        <v>7875</v>
      </c>
      <c r="B4169" s="76" t="s">
        <v>10945</v>
      </c>
    </row>
    <row r="4170" spans="1:2" ht="15">
      <c r="A4170" s="77" t="s">
        <v>7876</v>
      </c>
      <c r="B4170" s="76" t="s">
        <v>10945</v>
      </c>
    </row>
    <row r="4171" spans="1:2" ht="15">
      <c r="A4171" s="77" t="s">
        <v>7877</v>
      </c>
      <c r="B4171" s="76" t="s">
        <v>10945</v>
      </c>
    </row>
    <row r="4172" spans="1:2" ht="15">
      <c r="A4172" s="77" t="s">
        <v>7878</v>
      </c>
      <c r="B4172" s="76" t="s">
        <v>10945</v>
      </c>
    </row>
    <row r="4173" spans="1:2" ht="15">
      <c r="A4173" s="77" t="s">
        <v>7879</v>
      </c>
      <c r="B4173" s="76" t="s">
        <v>10945</v>
      </c>
    </row>
    <row r="4174" spans="1:2" ht="15">
      <c r="A4174" s="77" t="s">
        <v>7880</v>
      </c>
      <c r="B4174" s="76" t="s">
        <v>10945</v>
      </c>
    </row>
    <row r="4175" spans="1:2" ht="15">
      <c r="A4175" s="77" t="s">
        <v>7881</v>
      </c>
      <c r="B4175" s="76" t="s">
        <v>10945</v>
      </c>
    </row>
    <row r="4176" spans="1:2" ht="15">
      <c r="A4176" s="77" t="s">
        <v>7882</v>
      </c>
      <c r="B4176" s="76" t="s">
        <v>10945</v>
      </c>
    </row>
    <row r="4177" spans="1:2" ht="15">
      <c r="A4177" s="77" t="s">
        <v>7883</v>
      </c>
      <c r="B4177" s="76" t="s">
        <v>10945</v>
      </c>
    </row>
    <row r="4178" spans="1:2" ht="15">
      <c r="A4178" s="77" t="s">
        <v>7884</v>
      </c>
      <c r="B4178" s="76" t="s">
        <v>10945</v>
      </c>
    </row>
    <row r="4179" spans="1:2" ht="15">
      <c r="A4179" s="77" t="s">
        <v>7885</v>
      </c>
      <c r="B4179" s="76" t="s">
        <v>10945</v>
      </c>
    </row>
    <row r="4180" spans="1:2" ht="15">
      <c r="A4180" s="77" t="s">
        <v>7886</v>
      </c>
      <c r="B4180" s="76" t="s">
        <v>10945</v>
      </c>
    </row>
    <row r="4181" spans="1:2" ht="15">
      <c r="A4181" s="77" t="s">
        <v>7887</v>
      </c>
      <c r="B4181" s="76" t="s">
        <v>10945</v>
      </c>
    </row>
    <row r="4182" spans="1:2" ht="15">
      <c r="A4182" s="77" t="s">
        <v>7888</v>
      </c>
      <c r="B4182" s="76" t="s">
        <v>10945</v>
      </c>
    </row>
    <row r="4183" spans="1:2" ht="15">
      <c r="A4183" s="77" t="s">
        <v>7889</v>
      </c>
      <c r="B4183" s="76" t="s">
        <v>10945</v>
      </c>
    </row>
    <row r="4184" spans="1:2" ht="15">
      <c r="A4184" s="77" t="s">
        <v>7890</v>
      </c>
      <c r="B4184" s="76" t="s">
        <v>10945</v>
      </c>
    </row>
    <row r="4185" spans="1:2" ht="15">
      <c r="A4185" s="77" t="s">
        <v>7891</v>
      </c>
      <c r="B4185" s="76" t="s">
        <v>10945</v>
      </c>
    </row>
    <row r="4186" spans="1:2" ht="15">
      <c r="A4186" s="77" t="s">
        <v>7892</v>
      </c>
      <c r="B4186" s="76" t="s">
        <v>10945</v>
      </c>
    </row>
    <row r="4187" spans="1:2" ht="15">
      <c r="A4187" s="77" t="s">
        <v>7893</v>
      </c>
      <c r="B4187" s="76" t="s">
        <v>10945</v>
      </c>
    </row>
    <row r="4188" spans="1:2" ht="15">
      <c r="A4188" s="77" t="s">
        <v>7894</v>
      </c>
      <c r="B4188" s="76" t="s">
        <v>10945</v>
      </c>
    </row>
    <row r="4189" spans="1:2" ht="15">
      <c r="A4189" s="77" t="s">
        <v>7895</v>
      </c>
      <c r="B4189" s="76" t="s">
        <v>10945</v>
      </c>
    </row>
    <row r="4190" spans="1:2" ht="15">
      <c r="A4190" s="77" t="s">
        <v>7896</v>
      </c>
      <c r="B4190" s="76" t="s">
        <v>10945</v>
      </c>
    </row>
    <row r="4191" spans="1:2" ht="15">
      <c r="A4191" s="77" t="s">
        <v>7897</v>
      </c>
      <c r="B4191" s="76" t="s">
        <v>10945</v>
      </c>
    </row>
    <row r="4192" spans="1:2" ht="15">
      <c r="A4192" s="77" t="s">
        <v>7898</v>
      </c>
      <c r="B4192" s="76" t="s">
        <v>10945</v>
      </c>
    </row>
    <row r="4193" spans="1:2" ht="15">
      <c r="A4193" s="77" t="s">
        <v>7899</v>
      </c>
      <c r="B4193" s="76" t="s">
        <v>10945</v>
      </c>
    </row>
    <row r="4194" spans="1:2" ht="15">
      <c r="A4194" s="77" t="s">
        <v>7900</v>
      </c>
      <c r="B4194" s="76" t="s">
        <v>10945</v>
      </c>
    </row>
    <row r="4195" spans="1:2" ht="15">
      <c r="A4195" s="77" t="s">
        <v>7901</v>
      </c>
      <c r="B4195" s="76" t="s">
        <v>10945</v>
      </c>
    </row>
    <row r="4196" spans="1:2" ht="15">
      <c r="A4196" s="77" t="s">
        <v>7902</v>
      </c>
      <c r="B4196" s="76" t="s">
        <v>10945</v>
      </c>
    </row>
    <row r="4197" spans="1:2" ht="15">
      <c r="A4197" s="77" t="s">
        <v>7903</v>
      </c>
      <c r="B4197" s="76" t="s">
        <v>10945</v>
      </c>
    </row>
    <row r="4198" spans="1:2" ht="15">
      <c r="A4198" s="77" t="s">
        <v>7904</v>
      </c>
      <c r="B4198" s="76" t="s">
        <v>10945</v>
      </c>
    </row>
    <row r="4199" spans="1:2" ht="15">
      <c r="A4199" s="77" t="s">
        <v>7905</v>
      </c>
      <c r="B4199" s="76" t="s">
        <v>10945</v>
      </c>
    </row>
    <row r="4200" spans="1:2" ht="15">
      <c r="A4200" s="77" t="s">
        <v>7906</v>
      </c>
      <c r="B4200" s="76" t="s">
        <v>10945</v>
      </c>
    </row>
    <row r="4201" spans="1:2" ht="15">
      <c r="A4201" s="77" t="s">
        <v>7907</v>
      </c>
      <c r="B4201" s="76" t="s">
        <v>10945</v>
      </c>
    </row>
    <row r="4202" spans="1:2" ht="15">
      <c r="A4202" s="77" t="s">
        <v>7908</v>
      </c>
      <c r="B4202" s="76" t="s">
        <v>10945</v>
      </c>
    </row>
    <row r="4203" spans="1:2" ht="15">
      <c r="A4203" s="77" t="s">
        <v>7909</v>
      </c>
      <c r="B4203" s="76" t="s">
        <v>10945</v>
      </c>
    </row>
    <row r="4204" spans="1:2" ht="15">
      <c r="A4204" s="77" t="s">
        <v>7910</v>
      </c>
      <c r="B4204" s="76" t="s">
        <v>10945</v>
      </c>
    </row>
    <row r="4205" spans="1:2" ht="15">
      <c r="A4205" s="77" t="s">
        <v>7911</v>
      </c>
      <c r="B4205" s="76" t="s">
        <v>10945</v>
      </c>
    </row>
    <row r="4206" spans="1:2" ht="15">
      <c r="A4206" s="77" t="s">
        <v>7912</v>
      </c>
      <c r="B4206" s="76" t="s">
        <v>10945</v>
      </c>
    </row>
    <row r="4207" spans="1:2" ht="15">
      <c r="A4207" s="77" t="s">
        <v>7913</v>
      </c>
      <c r="B4207" s="76" t="s">
        <v>10945</v>
      </c>
    </row>
    <row r="4208" spans="1:2" ht="15">
      <c r="A4208" s="77" t="s">
        <v>7914</v>
      </c>
      <c r="B4208" s="76" t="s">
        <v>10945</v>
      </c>
    </row>
    <row r="4209" spans="1:2" ht="15">
      <c r="A4209" s="77" t="s">
        <v>7915</v>
      </c>
      <c r="B4209" s="76" t="s">
        <v>10945</v>
      </c>
    </row>
    <row r="4210" spans="1:2" ht="15">
      <c r="A4210" s="77" t="s">
        <v>7916</v>
      </c>
      <c r="B4210" s="76" t="s">
        <v>10945</v>
      </c>
    </row>
    <row r="4211" spans="1:2" ht="15">
      <c r="A4211" s="77" t="s">
        <v>7917</v>
      </c>
      <c r="B4211" s="76" t="s">
        <v>10945</v>
      </c>
    </row>
    <row r="4212" spans="1:2" ht="15">
      <c r="A4212" s="77" t="s">
        <v>7918</v>
      </c>
      <c r="B4212" s="76" t="s">
        <v>10945</v>
      </c>
    </row>
    <row r="4213" spans="1:2" ht="15">
      <c r="A4213" s="77" t="s">
        <v>7919</v>
      </c>
      <c r="B4213" s="76" t="s">
        <v>10945</v>
      </c>
    </row>
    <row r="4214" spans="1:2" ht="15">
      <c r="A4214" s="77" t="s">
        <v>7920</v>
      </c>
      <c r="B4214" s="76" t="s">
        <v>10945</v>
      </c>
    </row>
    <row r="4215" spans="1:2" ht="15">
      <c r="A4215" s="77" t="s">
        <v>7921</v>
      </c>
      <c r="B4215" s="76" t="s">
        <v>10945</v>
      </c>
    </row>
    <row r="4216" spans="1:2" ht="15">
      <c r="A4216" s="77" t="s">
        <v>7922</v>
      </c>
      <c r="B4216" s="76" t="s">
        <v>10945</v>
      </c>
    </row>
    <row r="4217" spans="1:2" ht="15">
      <c r="A4217" s="77" t="s">
        <v>7923</v>
      </c>
      <c r="B4217" s="76" t="s">
        <v>10945</v>
      </c>
    </row>
    <row r="4218" spans="1:2" ht="15">
      <c r="A4218" s="77" t="s">
        <v>7924</v>
      </c>
      <c r="B4218" s="76" t="s">
        <v>10945</v>
      </c>
    </row>
    <row r="4219" spans="1:2" ht="15">
      <c r="A4219" s="77" t="s">
        <v>7925</v>
      </c>
      <c r="B4219" s="76" t="s">
        <v>10945</v>
      </c>
    </row>
    <row r="4220" spans="1:2" ht="15">
      <c r="A4220" s="77" t="s">
        <v>7926</v>
      </c>
      <c r="B4220" s="76" t="s">
        <v>10945</v>
      </c>
    </row>
    <row r="4221" spans="1:2" ht="15">
      <c r="A4221" s="77" t="s">
        <v>7927</v>
      </c>
      <c r="B4221" s="76" t="s">
        <v>10945</v>
      </c>
    </row>
    <row r="4222" spans="1:2" ht="15">
      <c r="A4222" s="77" t="s">
        <v>7928</v>
      </c>
      <c r="B4222" s="76" t="s">
        <v>10945</v>
      </c>
    </row>
    <row r="4223" spans="1:2" ht="15">
      <c r="A4223" s="77" t="s">
        <v>7929</v>
      </c>
      <c r="B4223" s="76" t="s">
        <v>10945</v>
      </c>
    </row>
    <row r="4224" spans="1:2" ht="15">
      <c r="A4224" s="77" t="s">
        <v>7930</v>
      </c>
      <c r="B4224" s="76" t="s">
        <v>10945</v>
      </c>
    </row>
    <row r="4225" spans="1:2" ht="15">
      <c r="A4225" s="77" t="s">
        <v>3385</v>
      </c>
      <c r="B4225" s="76" t="s">
        <v>10945</v>
      </c>
    </row>
    <row r="4226" spans="1:2" ht="15">
      <c r="A4226" s="77" t="s">
        <v>7931</v>
      </c>
      <c r="B4226" s="76" t="s">
        <v>10945</v>
      </c>
    </row>
    <row r="4227" spans="1:2" ht="15">
      <c r="A4227" s="77" t="s">
        <v>7932</v>
      </c>
      <c r="B4227" s="76" t="s">
        <v>10945</v>
      </c>
    </row>
    <row r="4228" spans="1:2" ht="15">
      <c r="A4228" s="77" t="s">
        <v>7933</v>
      </c>
      <c r="B4228" s="76" t="s">
        <v>10945</v>
      </c>
    </row>
    <row r="4229" spans="1:2" ht="15">
      <c r="A4229" s="77" t="s">
        <v>7934</v>
      </c>
      <c r="B4229" s="76" t="s">
        <v>10945</v>
      </c>
    </row>
    <row r="4230" spans="1:2" ht="15">
      <c r="A4230" s="77" t="s">
        <v>7935</v>
      </c>
      <c r="B4230" s="76" t="s">
        <v>10945</v>
      </c>
    </row>
    <row r="4231" spans="1:2" ht="15">
      <c r="A4231" s="77" t="s">
        <v>7936</v>
      </c>
      <c r="B4231" s="76" t="s">
        <v>10945</v>
      </c>
    </row>
    <row r="4232" spans="1:2" ht="15">
      <c r="A4232" s="77" t="s">
        <v>7937</v>
      </c>
      <c r="B4232" s="76" t="s">
        <v>10945</v>
      </c>
    </row>
    <row r="4233" spans="1:2" ht="15">
      <c r="A4233" s="77" t="s">
        <v>7938</v>
      </c>
      <c r="B4233" s="76" t="s">
        <v>10945</v>
      </c>
    </row>
    <row r="4234" spans="1:2" ht="15">
      <c r="A4234" s="77" t="s">
        <v>7939</v>
      </c>
      <c r="B4234" s="76" t="s">
        <v>10945</v>
      </c>
    </row>
    <row r="4235" spans="1:2" ht="15">
      <c r="A4235" s="77" t="s">
        <v>7940</v>
      </c>
      <c r="B4235" s="76" t="s">
        <v>10945</v>
      </c>
    </row>
    <row r="4236" spans="1:2" ht="15">
      <c r="A4236" s="77" t="s">
        <v>7941</v>
      </c>
      <c r="B4236" s="76" t="s">
        <v>10945</v>
      </c>
    </row>
    <row r="4237" spans="1:2" ht="15">
      <c r="A4237" s="77" t="s">
        <v>7942</v>
      </c>
      <c r="B4237" s="76" t="s">
        <v>10945</v>
      </c>
    </row>
    <row r="4238" spans="1:2" ht="15">
      <c r="A4238" s="77" t="s">
        <v>7943</v>
      </c>
      <c r="B4238" s="76" t="s">
        <v>10945</v>
      </c>
    </row>
    <row r="4239" spans="1:2" ht="15">
      <c r="A4239" s="77" t="s">
        <v>7944</v>
      </c>
      <c r="B4239" s="76" t="s">
        <v>10945</v>
      </c>
    </row>
    <row r="4240" spans="1:2" ht="15">
      <c r="A4240" s="77" t="s">
        <v>7945</v>
      </c>
      <c r="B4240" s="76" t="s">
        <v>10945</v>
      </c>
    </row>
    <row r="4241" spans="1:2" ht="15">
      <c r="A4241" s="77" t="s">
        <v>7946</v>
      </c>
      <c r="B4241" s="76" t="s">
        <v>10945</v>
      </c>
    </row>
    <row r="4242" spans="1:2" ht="15">
      <c r="A4242" s="77" t="s">
        <v>7947</v>
      </c>
      <c r="B4242" s="76" t="s">
        <v>10945</v>
      </c>
    </row>
    <row r="4243" spans="1:2" ht="15">
      <c r="A4243" s="77" t="s">
        <v>7948</v>
      </c>
      <c r="B4243" s="76" t="s">
        <v>10945</v>
      </c>
    </row>
    <row r="4244" spans="1:2" ht="15">
      <c r="A4244" s="77" t="s">
        <v>7949</v>
      </c>
      <c r="B4244" s="76" t="s">
        <v>10945</v>
      </c>
    </row>
    <row r="4245" spans="1:2" ht="15">
      <c r="A4245" s="77" t="s">
        <v>7950</v>
      </c>
      <c r="B4245" s="76" t="s">
        <v>10945</v>
      </c>
    </row>
    <row r="4246" spans="1:2" ht="15">
      <c r="A4246" s="77" t="s">
        <v>7951</v>
      </c>
      <c r="B4246" s="76" t="s">
        <v>10945</v>
      </c>
    </row>
    <row r="4247" spans="1:2" ht="15">
      <c r="A4247" s="77" t="s">
        <v>7952</v>
      </c>
      <c r="B4247" s="76" t="s">
        <v>10945</v>
      </c>
    </row>
    <row r="4248" spans="1:2" ht="15">
      <c r="A4248" s="77" t="s">
        <v>7953</v>
      </c>
      <c r="B4248" s="76" t="s">
        <v>10945</v>
      </c>
    </row>
    <row r="4249" spans="1:2" ht="15">
      <c r="A4249" s="77" t="s">
        <v>7954</v>
      </c>
      <c r="B4249" s="76" t="s">
        <v>10945</v>
      </c>
    </row>
    <row r="4250" spans="1:2" ht="15">
      <c r="A4250" s="77" t="s">
        <v>7955</v>
      </c>
      <c r="B4250" s="76" t="s">
        <v>10945</v>
      </c>
    </row>
    <row r="4251" spans="1:2" ht="15">
      <c r="A4251" s="77" t="s">
        <v>7956</v>
      </c>
      <c r="B4251" s="76" t="s">
        <v>10945</v>
      </c>
    </row>
    <row r="4252" spans="1:2" ht="15">
      <c r="A4252" s="77" t="s">
        <v>7957</v>
      </c>
      <c r="B4252" s="76" t="s">
        <v>10945</v>
      </c>
    </row>
    <row r="4253" spans="1:2" ht="15">
      <c r="A4253" s="77" t="s">
        <v>7958</v>
      </c>
      <c r="B4253" s="76" t="s">
        <v>10945</v>
      </c>
    </row>
    <row r="4254" spans="1:2" ht="15">
      <c r="A4254" s="77" t="s">
        <v>7959</v>
      </c>
      <c r="B4254" s="76" t="s">
        <v>10945</v>
      </c>
    </row>
    <row r="4255" spans="1:2" ht="15">
      <c r="A4255" s="77" t="s">
        <v>7960</v>
      </c>
      <c r="B4255" s="76" t="s">
        <v>10945</v>
      </c>
    </row>
    <row r="4256" spans="1:2" ht="15">
      <c r="A4256" s="77" t="s">
        <v>7961</v>
      </c>
      <c r="B4256" s="76" t="s">
        <v>10945</v>
      </c>
    </row>
    <row r="4257" spans="1:2" ht="15">
      <c r="A4257" s="77" t="s">
        <v>7962</v>
      </c>
      <c r="B4257" s="76" t="s">
        <v>10945</v>
      </c>
    </row>
    <row r="4258" spans="1:2" ht="15">
      <c r="A4258" s="77" t="s">
        <v>7963</v>
      </c>
      <c r="B4258" s="76" t="s">
        <v>10945</v>
      </c>
    </row>
    <row r="4259" spans="1:2" ht="15">
      <c r="A4259" s="77" t="s">
        <v>7964</v>
      </c>
      <c r="B4259" s="76" t="s">
        <v>10945</v>
      </c>
    </row>
    <row r="4260" spans="1:2" ht="15">
      <c r="A4260" s="77" t="s">
        <v>7965</v>
      </c>
      <c r="B4260" s="76" t="s">
        <v>10945</v>
      </c>
    </row>
    <row r="4261" spans="1:2" ht="15">
      <c r="A4261" s="77" t="s">
        <v>7966</v>
      </c>
      <c r="B4261" s="76" t="s">
        <v>10945</v>
      </c>
    </row>
    <row r="4262" spans="1:2" ht="15">
      <c r="A4262" s="77" t="s">
        <v>7967</v>
      </c>
      <c r="B4262" s="76" t="s">
        <v>10945</v>
      </c>
    </row>
    <row r="4263" spans="1:2" ht="15">
      <c r="A4263" s="77" t="s">
        <v>7968</v>
      </c>
      <c r="B4263" s="76" t="s">
        <v>10945</v>
      </c>
    </row>
    <row r="4264" spans="1:2" ht="15">
      <c r="A4264" s="77" t="s">
        <v>7969</v>
      </c>
      <c r="B4264" s="76" t="s">
        <v>10945</v>
      </c>
    </row>
    <row r="4265" spans="1:2" ht="15">
      <c r="A4265" s="77" t="s">
        <v>7970</v>
      </c>
      <c r="B4265" s="76" t="s">
        <v>10945</v>
      </c>
    </row>
    <row r="4266" spans="1:2" ht="15">
      <c r="A4266" s="77" t="s">
        <v>7971</v>
      </c>
      <c r="B4266" s="76" t="s">
        <v>10945</v>
      </c>
    </row>
    <row r="4267" spans="1:2" ht="15">
      <c r="A4267" s="77" t="s">
        <v>7972</v>
      </c>
      <c r="B4267" s="76" t="s">
        <v>10945</v>
      </c>
    </row>
    <row r="4268" spans="1:2" ht="15">
      <c r="A4268" s="77" t="s">
        <v>7973</v>
      </c>
      <c r="B4268" s="76" t="s">
        <v>10945</v>
      </c>
    </row>
    <row r="4269" spans="1:2" ht="15">
      <c r="A4269" s="77" t="s">
        <v>7974</v>
      </c>
      <c r="B4269" s="76" t="s">
        <v>10945</v>
      </c>
    </row>
    <row r="4270" spans="1:2" ht="15">
      <c r="A4270" s="77" t="s">
        <v>7975</v>
      </c>
      <c r="B4270" s="76" t="s">
        <v>10945</v>
      </c>
    </row>
    <row r="4271" spans="1:2" ht="15">
      <c r="A4271" s="77" t="s">
        <v>7976</v>
      </c>
      <c r="B4271" s="76" t="s">
        <v>10945</v>
      </c>
    </row>
    <row r="4272" spans="1:2" ht="15">
      <c r="A4272" s="77" t="s">
        <v>7977</v>
      </c>
      <c r="B4272" s="76" t="s">
        <v>10945</v>
      </c>
    </row>
    <row r="4273" spans="1:2" ht="15">
      <c r="A4273" s="77" t="s">
        <v>7978</v>
      </c>
      <c r="B4273" s="76" t="s">
        <v>10945</v>
      </c>
    </row>
    <row r="4274" spans="1:2" ht="15">
      <c r="A4274" s="77" t="s">
        <v>7979</v>
      </c>
      <c r="B4274" s="76" t="s">
        <v>10945</v>
      </c>
    </row>
    <row r="4275" spans="1:2" ht="15">
      <c r="A4275" s="77" t="s">
        <v>7980</v>
      </c>
      <c r="B4275" s="76" t="s">
        <v>10945</v>
      </c>
    </row>
    <row r="4276" spans="1:2" ht="15">
      <c r="A4276" s="77" t="s">
        <v>7981</v>
      </c>
      <c r="B4276" s="76" t="s">
        <v>10945</v>
      </c>
    </row>
    <row r="4277" spans="1:2" ht="15">
      <c r="A4277" s="77" t="s">
        <v>7982</v>
      </c>
      <c r="B4277" s="76" t="s">
        <v>10945</v>
      </c>
    </row>
    <row r="4278" spans="1:2" ht="15">
      <c r="A4278" s="77" t="s">
        <v>7983</v>
      </c>
      <c r="B4278" s="76" t="s">
        <v>10945</v>
      </c>
    </row>
    <row r="4279" spans="1:2" ht="15">
      <c r="A4279" s="77" t="s">
        <v>7984</v>
      </c>
      <c r="B4279" s="76" t="s">
        <v>10945</v>
      </c>
    </row>
    <row r="4280" spans="1:2" ht="15">
      <c r="A4280" s="77" t="s">
        <v>7985</v>
      </c>
      <c r="B4280" s="76" t="s">
        <v>10945</v>
      </c>
    </row>
    <row r="4281" spans="1:2" ht="15">
      <c r="A4281" s="77" t="s">
        <v>7986</v>
      </c>
      <c r="B4281" s="76" t="s">
        <v>10945</v>
      </c>
    </row>
    <row r="4282" spans="1:2" ht="15">
      <c r="A4282" s="77" t="s">
        <v>7987</v>
      </c>
      <c r="B4282" s="76" t="s">
        <v>10945</v>
      </c>
    </row>
    <row r="4283" spans="1:2" ht="15">
      <c r="A4283" s="77" t="s">
        <v>7988</v>
      </c>
      <c r="B4283" s="76" t="s">
        <v>10945</v>
      </c>
    </row>
    <row r="4284" spans="1:2" ht="15">
      <c r="A4284" s="77" t="s">
        <v>7989</v>
      </c>
      <c r="B4284" s="76" t="s">
        <v>10945</v>
      </c>
    </row>
    <row r="4285" spans="1:2" ht="15">
      <c r="A4285" s="77" t="s">
        <v>7990</v>
      </c>
      <c r="B4285" s="76" t="s">
        <v>10945</v>
      </c>
    </row>
    <row r="4286" spans="1:2" ht="15">
      <c r="A4286" s="77" t="s">
        <v>7991</v>
      </c>
      <c r="B4286" s="76" t="s">
        <v>10945</v>
      </c>
    </row>
    <row r="4287" spans="1:2" ht="15">
      <c r="A4287" s="77" t="s">
        <v>7992</v>
      </c>
      <c r="B4287" s="76" t="s">
        <v>10945</v>
      </c>
    </row>
    <row r="4288" spans="1:2" ht="15">
      <c r="A4288" s="77" t="s">
        <v>7993</v>
      </c>
      <c r="B4288" s="76" t="s">
        <v>10945</v>
      </c>
    </row>
    <row r="4289" spans="1:2" ht="15">
      <c r="A4289" s="77" t="s">
        <v>7994</v>
      </c>
      <c r="B4289" s="76" t="s">
        <v>10945</v>
      </c>
    </row>
    <row r="4290" spans="1:2" ht="15">
      <c r="A4290" s="77" t="s">
        <v>7995</v>
      </c>
      <c r="B4290" s="76" t="s">
        <v>10945</v>
      </c>
    </row>
    <row r="4291" spans="1:2" ht="15">
      <c r="A4291" s="77" t="s">
        <v>7996</v>
      </c>
      <c r="B4291" s="76" t="s">
        <v>10945</v>
      </c>
    </row>
    <row r="4292" spans="1:2" ht="15">
      <c r="A4292" s="77" t="s">
        <v>7997</v>
      </c>
      <c r="B4292" s="76" t="s">
        <v>10945</v>
      </c>
    </row>
    <row r="4293" spans="1:2" ht="15">
      <c r="A4293" s="77" t="s">
        <v>7998</v>
      </c>
      <c r="B4293" s="76" t="s">
        <v>10945</v>
      </c>
    </row>
    <row r="4294" spans="1:2" ht="15">
      <c r="A4294" s="77" t="s">
        <v>7999</v>
      </c>
      <c r="B4294" s="76" t="s">
        <v>10945</v>
      </c>
    </row>
    <row r="4295" spans="1:2" ht="15">
      <c r="A4295" s="77" t="s">
        <v>8000</v>
      </c>
      <c r="B4295" s="76" t="s">
        <v>10945</v>
      </c>
    </row>
    <row r="4296" spans="1:2" ht="15">
      <c r="A4296" s="77" t="s">
        <v>8001</v>
      </c>
      <c r="B4296" s="76" t="s">
        <v>10945</v>
      </c>
    </row>
    <row r="4297" spans="1:2" ht="15">
      <c r="A4297" s="77" t="s">
        <v>8002</v>
      </c>
      <c r="B4297" s="76" t="s">
        <v>10945</v>
      </c>
    </row>
    <row r="4298" spans="1:2" ht="15">
      <c r="A4298" s="77" t="s">
        <v>8003</v>
      </c>
      <c r="B4298" s="76" t="s">
        <v>10945</v>
      </c>
    </row>
    <row r="4299" spans="1:2" ht="15">
      <c r="A4299" s="77" t="s">
        <v>8004</v>
      </c>
      <c r="B4299" s="76" t="s">
        <v>10945</v>
      </c>
    </row>
    <row r="4300" spans="1:2" ht="15">
      <c r="A4300" s="77" t="s">
        <v>8005</v>
      </c>
      <c r="B4300" s="76" t="s">
        <v>10945</v>
      </c>
    </row>
    <row r="4301" spans="1:2" ht="15">
      <c r="A4301" s="77" t="s">
        <v>8006</v>
      </c>
      <c r="B4301" s="76" t="s">
        <v>10945</v>
      </c>
    </row>
    <row r="4302" spans="1:2" ht="15">
      <c r="A4302" s="77" t="s">
        <v>8007</v>
      </c>
      <c r="B4302" s="76" t="s">
        <v>10945</v>
      </c>
    </row>
    <row r="4303" spans="1:2" ht="15">
      <c r="A4303" s="77" t="s">
        <v>8008</v>
      </c>
      <c r="B4303" s="76" t="s">
        <v>10945</v>
      </c>
    </row>
    <row r="4304" spans="1:2" ht="15">
      <c r="A4304" s="77" t="s">
        <v>8009</v>
      </c>
      <c r="B4304" s="76" t="s">
        <v>10945</v>
      </c>
    </row>
    <row r="4305" spans="1:2" ht="15">
      <c r="A4305" s="77" t="s">
        <v>8010</v>
      </c>
      <c r="B4305" s="76" t="s">
        <v>10945</v>
      </c>
    </row>
    <row r="4306" spans="1:2" ht="15">
      <c r="A4306" s="77" t="s">
        <v>8011</v>
      </c>
      <c r="B4306" s="76" t="s">
        <v>10945</v>
      </c>
    </row>
    <row r="4307" spans="1:2" ht="15">
      <c r="A4307" s="77" t="s">
        <v>8012</v>
      </c>
      <c r="B4307" s="76" t="s">
        <v>10945</v>
      </c>
    </row>
    <row r="4308" spans="1:2" ht="15">
      <c r="A4308" s="77" t="s">
        <v>8013</v>
      </c>
      <c r="B4308" s="76" t="s">
        <v>10945</v>
      </c>
    </row>
    <row r="4309" spans="1:2" ht="15">
      <c r="A4309" s="77" t="s">
        <v>8014</v>
      </c>
      <c r="B4309" s="76" t="s">
        <v>10945</v>
      </c>
    </row>
    <row r="4310" spans="1:2" ht="15">
      <c r="A4310" s="77" t="s">
        <v>8015</v>
      </c>
      <c r="B4310" s="76" t="s">
        <v>10945</v>
      </c>
    </row>
    <row r="4311" spans="1:2" ht="15">
      <c r="A4311" s="77" t="s">
        <v>8016</v>
      </c>
      <c r="B4311" s="76" t="s">
        <v>10945</v>
      </c>
    </row>
    <row r="4312" spans="1:2" ht="15">
      <c r="A4312" s="77" t="s">
        <v>8017</v>
      </c>
      <c r="B4312" s="76" t="s">
        <v>10945</v>
      </c>
    </row>
    <row r="4313" spans="1:2" ht="15">
      <c r="A4313" s="77" t="s">
        <v>8018</v>
      </c>
      <c r="B4313" s="76" t="s">
        <v>10945</v>
      </c>
    </row>
    <row r="4314" spans="1:2" ht="15">
      <c r="A4314" s="77" t="s">
        <v>8019</v>
      </c>
      <c r="B4314" s="76" t="s">
        <v>10945</v>
      </c>
    </row>
    <row r="4315" spans="1:2" ht="15">
      <c r="A4315" s="77" t="s">
        <v>8020</v>
      </c>
      <c r="B4315" s="76" t="s">
        <v>10945</v>
      </c>
    </row>
    <row r="4316" spans="1:2" ht="15">
      <c r="A4316" s="77" t="s">
        <v>8021</v>
      </c>
      <c r="B4316" s="76" t="s">
        <v>10945</v>
      </c>
    </row>
    <row r="4317" spans="1:2" ht="15">
      <c r="A4317" s="77" t="s">
        <v>8022</v>
      </c>
      <c r="B4317" s="76" t="s">
        <v>10945</v>
      </c>
    </row>
    <row r="4318" spans="1:2" ht="15">
      <c r="A4318" s="77" t="s">
        <v>8023</v>
      </c>
      <c r="B4318" s="76" t="s">
        <v>10945</v>
      </c>
    </row>
    <row r="4319" spans="1:2" ht="15">
      <c r="A4319" s="77" t="s">
        <v>8024</v>
      </c>
      <c r="B4319" s="76" t="s">
        <v>10945</v>
      </c>
    </row>
    <row r="4320" spans="1:2" ht="15">
      <c r="A4320" s="77" t="s">
        <v>8025</v>
      </c>
      <c r="B4320" s="76" t="s">
        <v>10945</v>
      </c>
    </row>
    <row r="4321" spans="1:2" ht="15">
      <c r="A4321" s="77" t="s">
        <v>8026</v>
      </c>
      <c r="B4321" s="76" t="s">
        <v>10945</v>
      </c>
    </row>
    <row r="4322" spans="1:2" ht="15">
      <c r="A4322" s="77" t="s">
        <v>8027</v>
      </c>
      <c r="B4322" s="76" t="s">
        <v>10945</v>
      </c>
    </row>
    <row r="4323" spans="1:2" ht="15">
      <c r="A4323" s="77" t="s">
        <v>8028</v>
      </c>
      <c r="B4323" s="76" t="s">
        <v>10945</v>
      </c>
    </row>
    <row r="4324" spans="1:2" ht="15">
      <c r="A4324" s="77" t="s">
        <v>8029</v>
      </c>
      <c r="B4324" s="76" t="s">
        <v>10945</v>
      </c>
    </row>
    <row r="4325" spans="1:2" ht="15">
      <c r="A4325" s="77" t="s">
        <v>8030</v>
      </c>
      <c r="B4325" s="76" t="s">
        <v>10945</v>
      </c>
    </row>
    <row r="4326" spans="1:2" ht="15">
      <c r="A4326" s="77" t="s">
        <v>2961</v>
      </c>
      <c r="B4326" s="76" t="s">
        <v>10945</v>
      </c>
    </row>
    <row r="4327" spans="1:2" ht="15">
      <c r="A4327" s="77" t="s">
        <v>8031</v>
      </c>
      <c r="B4327" s="76" t="s">
        <v>10945</v>
      </c>
    </row>
    <row r="4328" spans="1:2" ht="15">
      <c r="A4328" s="77" t="s">
        <v>8032</v>
      </c>
      <c r="B4328" s="76" t="s">
        <v>10945</v>
      </c>
    </row>
    <row r="4329" spans="1:2" ht="15">
      <c r="A4329" s="77" t="s">
        <v>8033</v>
      </c>
      <c r="B4329" s="76" t="s">
        <v>10945</v>
      </c>
    </row>
    <row r="4330" spans="1:2" ht="15">
      <c r="A4330" s="77" t="s">
        <v>8034</v>
      </c>
      <c r="B4330" s="76" t="s">
        <v>10945</v>
      </c>
    </row>
    <row r="4331" spans="1:2" ht="15">
      <c r="A4331" s="77" t="s">
        <v>8035</v>
      </c>
      <c r="B4331" s="76" t="s">
        <v>10945</v>
      </c>
    </row>
    <row r="4332" spans="1:2" ht="15">
      <c r="A4332" s="77" t="s">
        <v>8036</v>
      </c>
      <c r="B4332" s="76" t="s">
        <v>10945</v>
      </c>
    </row>
    <row r="4333" spans="1:2" ht="15">
      <c r="A4333" s="77" t="s">
        <v>8037</v>
      </c>
      <c r="B4333" s="76" t="s">
        <v>10945</v>
      </c>
    </row>
    <row r="4334" spans="1:2" ht="15">
      <c r="A4334" s="77" t="s">
        <v>8038</v>
      </c>
      <c r="B4334" s="76" t="s">
        <v>10945</v>
      </c>
    </row>
    <row r="4335" spans="1:2" ht="15">
      <c r="A4335" s="77" t="s">
        <v>8039</v>
      </c>
      <c r="B4335" s="76" t="s">
        <v>10945</v>
      </c>
    </row>
    <row r="4336" spans="1:2" ht="15">
      <c r="A4336" s="77" t="s">
        <v>8040</v>
      </c>
      <c r="B4336" s="76" t="s">
        <v>10945</v>
      </c>
    </row>
    <row r="4337" spans="1:2" ht="15">
      <c r="A4337" s="77" t="s">
        <v>8041</v>
      </c>
      <c r="B4337" s="76" t="s">
        <v>10945</v>
      </c>
    </row>
    <row r="4338" spans="1:2" ht="15">
      <c r="A4338" s="77" t="s">
        <v>8042</v>
      </c>
      <c r="B4338" s="76" t="s">
        <v>10945</v>
      </c>
    </row>
    <row r="4339" spans="1:2" ht="15">
      <c r="A4339" s="77" t="s">
        <v>8043</v>
      </c>
      <c r="B4339" s="76" t="s">
        <v>10945</v>
      </c>
    </row>
    <row r="4340" spans="1:2" ht="15">
      <c r="A4340" s="77" t="s">
        <v>8044</v>
      </c>
      <c r="B4340" s="76" t="s">
        <v>10945</v>
      </c>
    </row>
    <row r="4341" spans="1:2" ht="15">
      <c r="A4341" s="77" t="s">
        <v>8045</v>
      </c>
      <c r="B4341" s="76" t="s">
        <v>10945</v>
      </c>
    </row>
    <row r="4342" spans="1:2" ht="15">
      <c r="A4342" s="77" t="s">
        <v>8046</v>
      </c>
      <c r="B4342" s="76" t="s">
        <v>10945</v>
      </c>
    </row>
    <row r="4343" spans="1:2" ht="15">
      <c r="A4343" s="77" t="s">
        <v>8047</v>
      </c>
      <c r="B4343" s="76" t="s">
        <v>10945</v>
      </c>
    </row>
    <row r="4344" spans="1:2" ht="15">
      <c r="A4344" s="77" t="s">
        <v>8048</v>
      </c>
      <c r="B4344" s="76" t="s">
        <v>10945</v>
      </c>
    </row>
    <row r="4345" spans="1:2" ht="15">
      <c r="A4345" s="77" t="s">
        <v>8049</v>
      </c>
      <c r="B4345" s="76" t="s">
        <v>10945</v>
      </c>
    </row>
    <row r="4346" spans="1:2" ht="15">
      <c r="A4346" s="77" t="s">
        <v>8050</v>
      </c>
      <c r="B4346" s="76" t="s">
        <v>10945</v>
      </c>
    </row>
    <row r="4347" spans="1:2" ht="15">
      <c r="A4347" s="77" t="s">
        <v>8051</v>
      </c>
      <c r="B4347" s="76" t="s">
        <v>10945</v>
      </c>
    </row>
    <row r="4348" spans="1:2" ht="15">
      <c r="A4348" s="77" t="s">
        <v>8052</v>
      </c>
      <c r="B4348" s="76" t="s">
        <v>10945</v>
      </c>
    </row>
    <row r="4349" spans="1:2" ht="15">
      <c r="A4349" s="77" t="s">
        <v>8053</v>
      </c>
      <c r="B4349" s="76" t="s">
        <v>10945</v>
      </c>
    </row>
    <row r="4350" spans="1:2" ht="15">
      <c r="A4350" s="77" t="s">
        <v>8054</v>
      </c>
      <c r="B4350" s="76" t="s">
        <v>10945</v>
      </c>
    </row>
    <row r="4351" spans="1:2" ht="15">
      <c r="A4351" s="77" t="s">
        <v>8055</v>
      </c>
      <c r="B4351" s="76" t="s">
        <v>10945</v>
      </c>
    </row>
    <row r="4352" spans="1:2" ht="15">
      <c r="A4352" s="77" t="s">
        <v>8056</v>
      </c>
      <c r="B4352" s="76" t="s">
        <v>10945</v>
      </c>
    </row>
    <row r="4353" spans="1:2" ht="15">
      <c r="A4353" s="77" t="s">
        <v>8057</v>
      </c>
      <c r="B4353" s="76" t="s">
        <v>10945</v>
      </c>
    </row>
    <row r="4354" spans="1:2" ht="15">
      <c r="A4354" s="77" t="s">
        <v>8058</v>
      </c>
      <c r="B4354" s="76" t="s">
        <v>10945</v>
      </c>
    </row>
    <row r="4355" spans="1:2" ht="15">
      <c r="A4355" s="77" t="s">
        <v>8059</v>
      </c>
      <c r="B4355" s="76" t="s">
        <v>10945</v>
      </c>
    </row>
    <row r="4356" spans="1:2" ht="15">
      <c r="A4356" s="77" t="s">
        <v>8060</v>
      </c>
      <c r="B4356" s="76" t="s">
        <v>10945</v>
      </c>
    </row>
    <row r="4357" spans="1:2" ht="15">
      <c r="A4357" s="77" t="s">
        <v>8061</v>
      </c>
      <c r="B4357" s="76" t="s">
        <v>10945</v>
      </c>
    </row>
    <row r="4358" spans="1:2" ht="15">
      <c r="A4358" s="77" t="s">
        <v>8062</v>
      </c>
      <c r="B4358" s="76" t="s">
        <v>10945</v>
      </c>
    </row>
    <row r="4359" spans="1:2" ht="15">
      <c r="A4359" s="77" t="s">
        <v>8063</v>
      </c>
      <c r="B4359" s="76" t="s">
        <v>10945</v>
      </c>
    </row>
    <row r="4360" spans="1:2" ht="15">
      <c r="A4360" s="77" t="s">
        <v>8064</v>
      </c>
      <c r="B4360" s="76" t="s">
        <v>10945</v>
      </c>
    </row>
    <row r="4361" spans="1:2" ht="15">
      <c r="A4361" s="77" t="s">
        <v>8065</v>
      </c>
      <c r="B4361" s="76" t="s">
        <v>10945</v>
      </c>
    </row>
    <row r="4362" spans="1:2" ht="15">
      <c r="A4362" s="77" t="s">
        <v>8066</v>
      </c>
      <c r="B4362" s="76" t="s">
        <v>10945</v>
      </c>
    </row>
    <row r="4363" spans="1:2" ht="15">
      <c r="A4363" s="77" t="s">
        <v>8067</v>
      </c>
      <c r="B4363" s="76" t="s">
        <v>10945</v>
      </c>
    </row>
    <row r="4364" spans="1:2" ht="15">
      <c r="A4364" s="77" t="s">
        <v>8068</v>
      </c>
      <c r="B4364" s="76" t="s">
        <v>10945</v>
      </c>
    </row>
    <row r="4365" spans="1:2" ht="15">
      <c r="A4365" s="77" t="s">
        <v>8069</v>
      </c>
      <c r="B4365" s="76" t="s">
        <v>10945</v>
      </c>
    </row>
    <row r="4366" spans="1:2" ht="15">
      <c r="A4366" s="77" t="s">
        <v>8070</v>
      </c>
      <c r="B4366" s="76" t="s">
        <v>10945</v>
      </c>
    </row>
    <row r="4367" spans="1:2" ht="15">
      <c r="A4367" s="77" t="s">
        <v>8071</v>
      </c>
      <c r="B4367" s="76" t="s">
        <v>10945</v>
      </c>
    </row>
    <row r="4368" spans="1:2" ht="15">
      <c r="A4368" s="77" t="s">
        <v>8072</v>
      </c>
      <c r="B4368" s="76" t="s">
        <v>10945</v>
      </c>
    </row>
    <row r="4369" spans="1:2" ht="15">
      <c r="A4369" s="77" t="s">
        <v>3303</v>
      </c>
      <c r="B4369" s="76" t="s">
        <v>10945</v>
      </c>
    </row>
    <row r="4370" spans="1:2" ht="15">
      <c r="A4370" s="77" t="s">
        <v>8073</v>
      </c>
      <c r="B4370" s="76" t="s">
        <v>10945</v>
      </c>
    </row>
    <row r="4371" spans="1:2" ht="15">
      <c r="A4371" s="77" t="s">
        <v>8074</v>
      </c>
      <c r="B4371" s="76" t="s">
        <v>10945</v>
      </c>
    </row>
    <row r="4372" spans="1:2" ht="15">
      <c r="A4372" s="77" t="s">
        <v>8075</v>
      </c>
      <c r="B4372" s="76" t="s">
        <v>10945</v>
      </c>
    </row>
    <row r="4373" spans="1:2" ht="15">
      <c r="A4373" s="77" t="s">
        <v>8076</v>
      </c>
      <c r="B4373" s="76" t="s">
        <v>10945</v>
      </c>
    </row>
    <row r="4374" spans="1:2" ht="15">
      <c r="A4374" s="77" t="s">
        <v>8077</v>
      </c>
      <c r="B4374" s="76" t="s">
        <v>10945</v>
      </c>
    </row>
    <row r="4375" spans="1:2" ht="15">
      <c r="A4375" s="77" t="s">
        <v>8078</v>
      </c>
      <c r="B4375" s="76" t="s">
        <v>10945</v>
      </c>
    </row>
    <row r="4376" spans="1:2" ht="15">
      <c r="A4376" s="77" t="s">
        <v>8079</v>
      </c>
      <c r="B4376" s="76" t="s">
        <v>10945</v>
      </c>
    </row>
    <row r="4377" spans="1:2" ht="15">
      <c r="A4377" s="77" t="s">
        <v>8080</v>
      </c>
      <c r="B4377" s="76" t="s">
        <v>10945</v>
      </c>
    </row>
    <row r="4378" spans="1:2" ht="15">
      <c r="A4378" s="77" t="s">
        <v>8081</v>
      </c>
      <c r="B4378" s="76" t="s">
        <v>10945</v>
      </c>
    </row>
    <row r="4379" spans="1:2" ht="15">
      <c r="A4379" s="77" t="s">
        <v>8082</v>
      </c>
      <c r="B4379" s="76" t="s">
        <v>10945</v>
      </c>
    </row>
    <row r="4380" spans="1:2" ht="15">
      <c r="A4380" s="77" t="s">
        <v>8083</v>
      </c>
      <c r="B4380" s="76" t="s">
        <v>10945</v>
      </c>
    </row>
    <row r="4381" spans="1:2" ht="15">
      <c r="A4381" s="77" t="s">
        <v>8084</v>
      </c>
      <c r="B4381" s="76" t="s">
        <v>10945</v>
      </c>
    </row>
    <row r="4382" spans="1:2" ht="15">
      <c r="A4382" s="77" t="s">
        <v>8085</v>
      </c>
      <c r="B4382" s="76" t="s">
        <v>10945</v>
      </c>
    </row>
    <row r="4383" spans="1:2" ht="15">
      <c r="A4383" s="77" t="s">
        <v>8086</v>
      </c>
      <c r="B4383" s="76" t="s">
        <v>10945</v>
      </c>
    </row>
    <row r="4384" spans="1:2" ht="15">
      <c r="A4384" s="77" t="s">
        <v>8087</v>
      </c>
      <c r="B4384" s="76" t="s">
        <v>10945</v>
      </c>
    </row>
    <row r="4385" spans="1:2" ht="15">
      <c r="A4385" s="77" t="s">
        <v>8088</v>
      </c>
      <c r="B4385" s="76" t="s">
        <v>10945</v>
      </c>
    </row>
    <row r="4386" spans="1:2" ht="15">
      <c r="A4386" s="77" t="s">
        <v>8089</v>
      </c>
      <c r="B4386" s="76" t="s">
        <v>10945</v>
      </c>
    </row>
    <row r="4387" spans="1:2" ht="15">
      <c r="A4387" s="77" t="s">
        <v>8090</v>
      </c>
      <c r="B4387" s="76" t="s">
        <v>10945</v>
      </c>
    </row>
    <row r="4388" spans="1:2" ht="15">
      <c r="A4388" s="77" t="s">
        <v>8091</v>
      </c>
      <c r="B4388" s="76" t="s">
        <v>10945</v>
      </c>
    </row>
    <row r="4389" spans="1:2" ht="15">
      <c r="A4389" s="77" t="s">
        <v>8092</v>
      </c>
      <c r="B4389" s="76" t="s">
        <v>10945</v>
      </c>
    </row>
    <row r="4390" spans="1:2" ht="15">
      <c r="A4390" s="77" t="s">
        <v>8093</v>
      </c>
      <c r="B4390" s="76" t="s">
        <v>10945</v>
      </c>
    </row>
    <row r="4391" spans="1:2" ht="15">
      <c r="A4391" s="77" t="s">
        <v>8094</v>
      </c>
      <c r="B4391" s="76" t="s">
        <v>10945</v>
      </c>
    </row>
    <row r="4392" spans="1:2" ht="15">
      <c r="A4392" s="77" t="s">
        <v>8095</v>
      </c>
      <c r="B4392" s="76" t="s">
        <v>10945</v>
      </c>
    </row>
    <row r="4393" spans="1:2" ht="15">
      <c r="A4393" s="77" t="s">
        <v>8096</v>
      </c>
      <c r="B4393" s="76" t="s">
        <v>10945</v>
      </c>
    </row>
    <row r="4394" spans="1:2" ht="15">
      <c r="A4394" s="77" t="s">
        <v>8097</v>
      </c>
      <c r="B4394" s="76" t="s">
        <v>10945</v>
      </c>
    </row>
    <row r="4395" spans="1:2" ht="15">
      <c r="A4395" s="77" t="s">
        <v>8098</v>
      </c>
      <c r="B4395" s="76" t="s">
        <v>10945</v>
      </c>
    </row>
    <row r="4396" spans="1:2" ht="15">
      <c r="A4396" s="77" t="s">
        <v>8099</v>
      </c>
      <c r="B4396" s="76" t="s">
        <v>10945</v>
      </c>
    </row>
    <row r="4397" spans="1:2" ht="15">
      <c r="A4397" s="77" t="s">
        <v>8100</v>
      </c>
      <c r="B4397" s="76" t="s">
        <v>10945</v>
      </c>
    </row>
    <row r="4398" spans="1:2" ht="15">
      <c r="A4398" s="77" t="s">
        <v>8101</v>
      </c>
      <c r="B4398" s="76" t="s">
        <v>10945</v>
      </c>
    </row>
    <row r="4399" spans="1:2" ht="15">
      <c r="A4399" s="77" t="s">
        <v>8102</v>
      </c>
      <c r="B4399" s="76" t="s">
        <v>10945</v>
      </c>
    </row>
    <row r="4400" spans="1:2" ht="15">
      <c r="A4400" s="77" t="s">
        <v>8103</v>
      </c>
      <c r="B4400" s="76" t="s">
        <v>10945</v>
      </c>
    </row>
    <row r="4401" spans="1:2" ht="15">
      <c r="A4401" s="77" t="s">
        <v>8104</v>
      </c>
      <c r="B4401" s="76" t="s">
        <v>10945</v>
      </c>
    </row>
    <row r="4402" spans="1:2" ht="15">
      <c r="A4402" s="77" t="s">
        <v>8105</v>
      </c>
      <c r="B4402" s="76" t="s">
        <v>10945</v>
      </c>
    </row>
    <row r="4403" spans="1:2" ht="15">
      <c r="A4403" s="77" t="s">
        <v>8106</v>
      </c>
      <c r="B4403" s="76" t="s">
        <v>10945</v>
      </c>
    </row>
    <row r="4404" spans="1:2" ht="15">
      <c r="A4404" s="77" t="s">
        <v>8107</v>
      </c>
      <c r="B4404" s="76" t="s">
        <v>10945</v>
      </c>
    </row>
    <row r="4405" spans="1:2" ht="15">
      <c r="A4405" s="77" t="s">
        <v>8108</v>
      </c>
      <c r="B4405" s="76" t="s">
        <v>10945</v>
      </c>
    </row>
    <row r="4406" spans="1:2" ht="15">
      <c r="A4406" s="77" t="s">
        <v>8109</v>
      </c>
      <c r="B4406" s="76" t="s">
        <v>10945</v>
      </c>
    </row>
    <row r="4407" spans="1:2" ht="15">
      <c r="A4407" s="77" t="s">
        <v>8110</v>
      </c>
      <c r="B4407" s="76" t="s">
        <v>10945</v>
      </c>
    </row>
    <row r="4408" spans="1:2" ht="15">
      <c r="A4408" s="77" t="s">
        <v>8111</v>
      </c>
      <c r="B4408" s="76" t="s">
        <v>10945</v>
      </c>
    </row>
    <row r="4409" spans="1:2" ht="15">
      <c r="A4409" s="77" t="s">
        <v>8112</v>
      </c>
      <c r="B4409" s="76" t="s">
        <v>10945</v>
      </c>
    </row>
    <row r="4410" spans="1:2" ht="15">
      <c r="A4410" s="77" t="s">
        <v>8113</v>
      </c>
      <c r="B4410" s="76" t="s">
        <v>10945</v>
      </c>
    </row>
    <row r="4411" spans="1:2" ht="15">
      <c r="A4411" s="77" t="s">
        <v>8114</v>
      </c>
      <c r="B4411" s="76" t="s">
        <v>10945</v>
      </c>
    </row>
    <row r="4412" spans="1:2" ht="15">
      <c r="A4412" s="77" t="s">
        <v>8115</v>
      </c>
      <c r="B4412" s="76" t="s">
        <v>10945</v>
      </c>
    </row>
    <row r="4413" spans="1:2" ht="15">
      <c r="A4413" s="77" t="s">
        <v>8116</v>
      </c>
      <c r="B4413" s="76" t="s">
        <v>10945</v>
      </c>
    </row>
    <row r="4414" spans="1:2" ht="15">
      <c r="A4414" s="77" t="s">
        <v>8117</v>
      </c>
      <c r="B4414" s="76" t="s">
        <v>10945</v>
      </c>
    </row>
    <row r="4415" spans="1:2" ht="15">
      <c r="A4415" s="77" t="s">
        <v>8118</v>
      </c>
      <c r="B4415" s="76" t="s">
        <v>10945</v>
      </c>
    </row>
    <row r="4416" spans="1:2" ht="15">
      <c r="A4416" s="77" t="s">
        <v>8119</v>
      </c>
      <c r="B4416" s="76" t="s">
        <v>10945</v>
      </c>
    </row>
    <row r="4417" spans="1:2" ht="15">
      <c r="A4417" s="77" t="s">
        <v>8120</v>
      </c>
      <c r="B4417" s="76" t="s">
        <v>10945</v>
      </c>
    </row>
    <row r="4418" spans="1:2" ht="15">
      <c r="A4418" s="77" t="s">
        <v>8121</v>
      </c>
      <c r="B4418" s="76" t="s">
        <v>10945</v>
      </c>
    </row>
    <row r="4419" spans="1:2" ht="15">
      <c r="A4419" s="77" t="s">
        <v>8122</v>
      </c>
      <c r="B4419" s="76" t="s">
        <v>10945</v>
      </c>
    </row>
    <row r="4420" spans="1:2" ht="15">
      <c r="A4420" s="77" t="s">
        <v>8123</v>
      </c>
      <c r="B4420" s="76" t="s">
        <v>10945</v>
      </c>
    </row>
    <row r="4421" spans="1:2" ht="15">
      <c r="A4421" s="77" t="s">
        <v>8124</v>
      </c>
      <c r="B4421" s="76" t="s">
        <v>10945</v>
      </c>
    </row>
    <row r="4422" spans="1:2" ht="15">
      <c r="A4422" s="77" t="s">
        <v>8125</v>
      </c>
      <c r="B4422" s="76" t="s">
        <v>10945</v>
      </c>
    </row>
    <row r="4423" spans="1:2" ht="15">
      <c r="A4423" s="77" t="s">
        <v>8126</v>
      </c>
      <c r="B4423" s="76" t="s">
        <v>10945</v>
      </c>
    </row>
    <row r="4424" spans="1:2" ht="15">
      <c r="A4424" s="77" t="s">
        <v>8127</v>
      </c>
      <c r="B4424" s="76" t="s">
        <v>10945</v>
      </c>
    </row>
    <row r="4425" spans="1:2" ht="15">
      <c r="A4425" s="77" t="s">
        <v>8128</v>
      </c>
      <c r="B4425" s="76" t="s">
        <v>10945</v>
      </c>
    </row>
    <row r="4426" spans="1:2" ht="15">
      <c r="A4426" s="77" t="s">
        <v>8129</v>
      </c>
      <c r="B4426" s="76" t="s">
        <v>10945</v>
      </c>
    </row>
    <row r="4427" spans="1:2" ht="15">
      <c r="A4427" s="77" t="s">
        <v>8130</v>
      </c>
      <c r="B4427" s="76" t="s">
        <v>10945</v>
      </c>
    </row>
    <row r="4428" spans="1:2" ht="15">
      <c r="A4428" s="77" t="s">
        <v>8131</v>
      </c>
      <c r="B4428" s="76" t="s">
        <v>10945</v>
      </c>
    </row>
    <row r="4429" spans="1:2" ht="15">
      <c r="A4429" s="77" t="s">
        <v>8132</v>
      </c>
      <c r="B4429" s="76" t="s">
        <v>10945</v>
      </c>
    </row>
    <row r="4430" spans="1:2" ht="15">
      <c r="A4430" s="77" t="s">
        <v>8133</v>
      </c>
      <c r="B4430" s="76" t="s">
        <v>10945</v>
      </c>
    </row>
    <row r="4431" spans="1:2" ht="15">
      <c r="A4431" s="77" t="s">
        <v>8134</v>
      </c>
      <c r="B4431" s="76" t="s">
        <v>10945</v>
      </c>
    </row>
    <row r="4432" spans="1:2" ht="15">
      <c r="A4432" s="77" t="s">
        <v>8135</v>
      </c>
      <c r="B4432" s="76" t="s">
        <v>10945</v>
      </c>
    </row>
    <row r="4433" spans="1:2" ht="15">
      <c r="A4433" s="77" t="s">
        <v>8136</v>
      </c>
      <c r="B4433" s="76" t="s">
        <v>10945</v>
      </c>
    </row>
    <row r="4434" spans="1:2" ht="15">
      <c r="A4434" s="77" t="s">
        <v>8137</v>
      </c>
      <c r="B4434" s="76" t="s">
        <v>10945</v>
      </c>
    </row>
    <row r="4435" spans="1:2" ht="15">
      <c r="A4435" s="77" t="s">
        <v>8138</v>
      </c>
      <c r="B4435" s="76" t="s">
        <v>10945</v>
      </c>
    </row>
    <row r="4436" spans="1:2" ht="15">
      <c r="A4436" s="77" t="s">
        <v>8139</v>
      </c>
      <c r="B4436" s="76" t="s">
        <v>10945</v>
      </c>
    </row>
    <row r="4437" spans="1:2" ht="15">
      <c r="A4437" s="77" t="s">
        <v>8140</v>
      </c>
      <c r="B4437" s="76" t="s">
        <v>10945</v>
      </c>
    </row>
    <row r="4438" spans="1:2" ht="15">
      <c r="A4438" s="77" t="s">
        <v>8141</v>
      </c>
      <c r="B4438" s="76" t="s">
        <v>10945</v>
      </c>
    </row>
    <row r="4439" spans="1:2" ht="15">
      <c r="A4439" s="77" t="s">
        <v>8142</v>
      </c>
      <c r="B4439" s="76" t="s">
        <v>10945</v>
      </c>
    </row>
    <row r="4440" spans="1:2" ht="15">
      <c r="A4440" s="77" t="s">
        <v>8143</v>
      </c>
      <c r="B4440" s="76" t="s">
        <v>10945</v>
      </c>
    </row>
    <row r="4441" spans="1:2" ht="15">
      <c r="A4441" s="77" t="s">
        <v>8144</v>
      </c>
      <c r="B4441" s="76" t="s">
        <v>10945</v>
      </c>
    </row>
    <row r="4442" spans="1:2" ht="15">
      <c r="A4442" s="77" t="s">
        <v>8145</v>
      </c>
      <c r="B4442" s="76" t="s">
        <v>10945</v>
      </c>
    </row>
    <row r="4443" spans="1:2" ht="15">
      <c r="A4443" s="77" t="s">
        <v>8146</v>
      </c>
      <c r="B4443" s="76" t="s">
        <v>10945</v>
      </c>
    </row>
    <row r="4444" spans="1:2" ht="15">
      <c r="A4444" s="77" t="s">
        <v>8147</v>
      </c>
      <c r="B4444" s="76" t="s">
        <v>10945</v>
      </c>
    </row>
    <row r="4445" spans="1:2" ht="15">
      <c r="A4445" s="77" t="s">
        <v>8148</v>
      </c>
      <c r="B4445" s="76" t="s">
        <v>10945</v>
      </c>
    </row>
    <row r="4446" spans="1:2" ht="15">
      <c r="A4446" s="77" t="s">
        <v>8149</v>
      </c>
      <c r="B4446" s="76" t="s">
        <v>10945</v>
      </c>
    </row>
    <row r="4447" spans="1:2" ht="15">
      <c r="A4447" s="77" t="s">
        <v>8150</v>
      </c>
      <c r="B4447" s="76" t="s">
        <v>10945</v>
      </c>
    </row>
    <row r="4448" spans="1:2" ht="15">
      <c r="A4448" s="77" t="s">
        <v>8151</v>
      </c>
      <c r="B4448" s="76" t="s">
        <v>10945</v>
      </c>
    </row>
    <row r="4449" spans="1:2" ht="15">
      <c r="A4449" s="77" t="s">
        <v>8152</v>
      </c>
      <c r="B4449" s="76" t="s">
        <v>10945</v>
      </c>
    </row>
    <row r="4450" spans="1:2" ht="15">
      <c r="A4450" s="77" t="s">
        <v>8153</v>
      </c>
      <c r="B4450" s="76" t="s">
        <v>10945</v>
      </c>
    </row>
    <row r="4451" spans="1:2" ht="15">
      <c r="A4451" s="77" t="s">
        <v>8154</v>
      </c>
      <c r="B4451" s="76" t="s">
        <v>10945</v>
      </c>
    </row>
    <row r="4452" spans="1:2" ht="15">
      <c r="A4452" s="77" t="s">
        <v>8155</v>
      </c>
      <c r="B4452" s="76" t="s">
        <v>10945</v>
      </c>
    </row>
    <row r="4453" spans="1:2" ht="15">
      <c r="A4453" s="77" t="s">
        <v>8156</v>
      </c>
      <c r="B4453" s="76" t="s">
        <v>10945</v>
      </c>
    </row>
    <row r="4454" spans="1:2" ht="15">
      <c r="A4454" s="77" t="s">
        <v>8157</v>
      </c>
      <c r="B4454" s="76" t="s">
        <v>10945</v>
      </c>
    </row>
    <row r="4455" spans="1:2" ht="15">
      <c r="A4455" s="77" t="s">
        <v>8158</v>
      </c>
      <c r="B4455" s="76" t="s">
        <v>10945</v>
      </c>
    </row>
    <row r="4456" spans="1:2" ht="15">
      <c r="A4456" s="77" t="s">
        <v>8159</v>
      </c>
      <c r="B4456" s="76" t="s">
        <v>10945</v>
      </c>
    </row>
    <row r="4457" spans="1:2" ht="15">
      <c r="A4457" s="77" t="s">
        <v>8160</v>
      </c>
      <c r="B4457" s="76" t="s">
        <v>10945</v>
      </c>
    </row>
    <row r="4458" spans="1:2" ht="15">
      <c r="A4458" s="77" t="s">
        <v>8161</v>
      </c>
      <c r="B4458" s="76" t="s">
        <v>10945</v>
      </c>
    </row>
    <row r="4459" spans="1:2" ht="15">
      <c r="A4459" s="77" t="s">
        <v>8162</v>
      </c>
      <c r="B4459" s="76" t="s">
        <v>10945</v>
      </c>
    </row>
    <row r="4460" spans="1:2" ht="15">
      <c r="A4460" s="77" t="s">
        <v>8163</v>
      </c>
      <c r="B4460" s="76" t="s">
        <v>10945</v>
      </c>
    </row>
    <row r="4461" spans="1:2" ht="15">
      <c r="A4461" s="77" t="s">
        <v>8164</v>
      </c>
      <c r="B4461" s="76" t="s">
        <v>10945</v>
      </c>
    </row>
    <row r="4462" spans="1:2" ht="15">
      <c r="A4462" s="77" t="s">
        <v>8165</v>
      </c>
      <c r="B4462" s="76" t="s">
        <v>10945</v>
      </c>
    </row>
    <row r="4463" spans="1:2" ht="15">
      <c r="A4463" s="77" t="s">
        <v>8166</v>
      </c>
      <c r="B4463" s="76" t="s">
        <v>10945</v>
      </c>
    </row>
    <row r="4464" spans="1:2" ht="15">
      <c r="A4464" s="77" t="s">
        <v>8167</v>
      </c>
      <c r="B4464" s="76" t="s">
        <v>10945</v>
      </c>
    </row>
    <row r="4465" spans="1:2" ht="15">
      <c r="A4465" s="77" t="s">
        <v>8168</v>
      </c>
      <c r="B4465" s="76" t="s">
        <v>10945</v>
      </c>
    </row>
    <row r="4466" spans="1:2" ht="15">
      <c r="A4466" s="77" t="s">
        <v>8169</v>
      </c>
      <c r="B4466" s="76" t="s">
        <v>10945</v>
      </c>
    </row>
    <row r="4467" spans="1:2" ht="15">
      <c r="A4467" s="77" t="s">
        <v>8170</v>
      </c>
      <c r="B4467" s="76" t="s">
        <v>10945</v>
      </c>
    </row>
    <row r="4468" spans="1:2" ht="15">
      <c r="A4468" s="77" t="s">
        <v>8171</v>
      </c>
      <c r="B4468" s="76" t="s">
        <v>10945</v>
      </c>
    </row>
    <row r="4469" spans="1:2" ht="15">
      <c r="A4469" s="77" t="s">
        <v>8172</v>
      </c>
      <c r="B4469" s="76" t="s">
        <v>10945</v>
      </c>
    </row>
    <row r="4470" spans="1:2" ht="15">
      <c r="A4470" s="77" t="s">
        <v>8173</v>
      </c>
      <c r="B4470" s="76" t="s">
        <v>10945</v>
      </c>
    </row>
    <row r="4471" spans="1:2" ht="15">
      <c r="A4471" s="77" t="s">
        <v>8174</v>
      </c>
      <c r="B4471" s="76" t="s">
        <v>10945</v>
      </c>
    </row>
    <row r="4472" spans="1:2" ht="15">
      <c r="A4472" s="77" t="s">
        <v>8175</v>
      </c>
      <c r="B4472" s="76" t="s">
        <v>10945</v>
      </c>
    </row>
    <row r="4473" spans="1:2" ht="15">
      <c r="A4473" s="77" t="s">
        <v>8176</v>
      </c>
      <c r="B4473" s="76" t="s">
        <v>10945</v>
      </c>
    </row>
    <row r="4474" spans="1:2" ht="15">
      <c r="A4474" s="77" t="s">
        <v>8177</v>
      </c>
      <c r="B4474" s="76" t="s">
        <v>10945</v>
      </c>
    </row>
    <row r="4475" spans="1:2" ht="15">
      <c r="A4475" s="77" t="s">
        <v>8178</v>
      </c>
      <c r="B4475" s="76" t="s">
        <v>10945</v>
      </c>
    </row>
    <row r="4476" spans="1:2" ht="15">
      <c r="A4476" s="77" t="s">
        <v>8179</v>
      </c>
      <c r="B4476" s="76" t="s">
        <v>10945</v>
      </c>
    </row>
    <row r="4477" spans="1:2" ht="15">
      <c r="A4477" s="77" t="s">
        <v>8180</v>
      </c>
      <c r="B4477" s="76" t="s">
        <v>10945</v>
      </c>
    </row>
    <row r="4478" spans="1:2" ht="15">
      <c r="A4478" s="77" t="s">
        <v>8181</v>
      </c>
      <c r="B4478" s="76" t="s">
        <v>10945</v>
      </c>
    </row>
    <row r="4479" spans="1:2" ht="15">
      <c r="A4479" s="77" t="s">
        <v>2831</v>
      </c>
      <c r="B4479" s="76" t="s">
        <v>10945</v>
      </c>
    </row>
    <row r="4480" spans="1:2" ht="15">
      <c r="A4480" s="77" t="s">
        <v>8182</v>
      </c>
      <c r="B4480" s="76" t="s">
        <v>10945</v>
      </c>
    </row>
    <row r="4481" spans="1:2" ht="15">
      <c r="A4481" s="77" t="s">
        <v>8183</v>
      </c>
      <c r="B4481" s="76" t="s">
        <v>10945</v>
      </c>
    </row>
    <row r="4482" spans="1:2" ht="15">
      <c r="A4482" s="77" t="s">
        <v>8184</v>
      </c>
      <c r="B4482" s="76" t="s">
        <v>10945</v>
      </c>
    </row>
    <row r="4483" spans="1:2" ht="15">
      <c r="A4483" s="77" t="s">
        <v>8185</v>
      </c>
      <c r="B4483" s="76" t="s">
        <v>10945</v>
      </c>
    </row>
    <row r="4484" spans="1:2" ht="15">
      <c r="A4484" s="77" t="s">
        <v>8186</v>
      </c>
      <c r="B4484" s="76" t="s">
        <v>10945</v>
      </c>
    </row>
    <row r="4485" spans="1:2" ht="15">
      <c r="A4485" s="77" t="s">
        <v>8187</v>
      </c>
      <c r="B4485" s="76" t="s">
        <v>10945</v>
      </c>
    </row>
    <row r="4486" spans="1:2" ht="15">
      <c r="A4486" s="77" t="s">
        <v>8188</v>
      </c>
      <c r="B4486" s="76" t="s">
        <v>10945</v>
      </c>
    </row>
    <row r="4487" spans="1:2" ht="15">
      <c r="A4487" s="77" t="s">
        <v>8189</v>
      </c>
      <c r="B4487" s="76" t="s">
        <v>10945</v>
      </c>
    </row>
    <row r="4488" spans="1:2" ht="15">
      <c r="A4488" s="77" t="s">
        <v>8190</v>
      </c>
      <c r="B4488" s="76" t="s">
        <v>10945</v>
      </c>
    </row>
    <row r="4489" spans="1:2" ht="15">
      <c r="A4489" s="77" t="s">
        <v>8191</v>
      </c>
      <c r="B4489" s="76" t="s">
        <v>10945</v>
      </c>
    </row>
    <row r="4490" spans="1:2" ht="15">
      <c r="A4490" s="77" t="s">
        <v>8192</v>
      </c>
      <c r="B4490" s="76" t="s">
        <v>10945</v>
      </c>
    </row>
    <row r="4491" spans="1:2" ht="15">
      <c r="A4491" s="77" t="s">
        <v>8193</v>
      </c>
      <c r="B4491" s="76" t="s">
        <v>10945</v>
      </c>
    </row>
    <row r="4492" spans="1:2" ht="15">
      <c r="A4492" s="77" t="s">
        <v>8194</v>
      </c>
      <c r="B4492" s="76" t="s">
        <v>10945</v>
      </c>
    </row>
    <row r="4493" spans="1:2" ht="15">
      <c r="A4493" s="77" t="s">
        <v>8195</v>
      </c>
      <c r="B4493" s="76" t="s">
        <v>10945</v>
      </c>
    </row>
    <row r="4494" spans="1:2" ht="15">
      <c r="A4494" s="77" t="s">
        <v>8196</v>
      </c>
      <c r="B4494" s="76" t="s">
        <v>10945</v>
      </c>
    </row>
    <row r="4495" spans="1:2" ht="15">
      <c r="A4495" s="77" t="s">
        <v>8197</v>
      </c>
      <c r="B4495" s="76" t="s">
        <v>10945</v>
      </c>
    </row>
    <row r="4496" spans="1:2" ht="15">
      <c r="A4496" s="77" t="s">
        <v>8198</v>
      </c>
      <c r="B4496" s="76" t="s">
        <v>10945</v>
      </c>
    </row>
    <row r="4497" spans="1:2" ht="15">
      <c r="A4497" s="77" t="s">
        <v>8199</v>
      </c>
      <c r="B4497" s="76" t="s">
        <v>10945</v>
      </c>
    </row>
    <row r="4498" spans="1:2" ht="15">
      <c r="A4498" s="77" t="s">
        <v>8200</v>
      </c>
      <c r="B4498" s="76" t="s">
        <v>10945</v>
      </c>
    </row>
    <row r="4499" spans="1:2" ht="15">
      <c r="A4499" s="77" t="s">
        <v>8201</v>
      </c>
      <c r="B4499" s="76" t="s">
        <v>10945</v>
      </c>
    </row>
    <row r="4500" spans="1:2" ht="15">
      <c r="A4500" s="77" t="s">
        <v>8202</v>
      </c>
      <c r="B4500" s="76" t="s">
        <v>10945</v>
      </c>
    </row>
    <row r="4501" spans="1:2" ht="15">
      <c r="A4501" s="77" t="s">
        <v>8203</v>
      </c>
      <c r="B4501" s="76" t="s">
        <v>10945</v>
      </c>
    </row>
    <row r="4502" spans="1:2" ht="15">
      <c r="A4502" s="77" t="s">
        <v>8204</v>
      </c>
      <c r="B4502" s="76" t="s">
        <v>10945</v>
      </c>
    </row>
    <row r="4503" spans="1:2" ht="15">
      <c r="A4503" s="77" t="s">
        <v>8205</v>
      </c>
      <c r="B4503" s="76" t="s">
        <v>10945</v>
      </c>
    </row>
    <row r="4504" spans="1:2" ht="15">
      <c r="A4504" s="77" t="s">
        <v>8206</v>
      </c>
      <c r="B4504" s="76" t="s">
        <v>10945</v>
      </c>
    </row>
    <row r="4505" spans="1:2" ht="15">
      <c r="A4505" s="77" t="s">
        <v>8207</v>
      </c>
      <c r="B4505" s="76" t="s">
        <v>10945</v>
      </c>
    </row>
    <row r="4506" spans="1:2" ht="15">
      <c r="A4506" s="77" t="s">
        <v>8208</v>
      </c>
      <c r="B4506" s="76" t="s">
        <v>10945</v>
      </c>
    </row>
    <row r="4507" spans="1:2" ht="15">
      <c r="A4507" s="77" t="s">
        <v>8209</v>
      </c>
      <c r="B4507" s="76" t="s">
        <v>10945</v>
      </c>
    </row>
    <row r="4508" spans="1:2" ht="15">
      <c r="A4508" s="77" t="s">
        <v>8210</v>
      </c>
      <c r="B4508" s="76" t="s">
        <v>10945</v>
      </c>
    </row>
    <row r="4509" spans="1:2" ht="15">
      <c r="A4509" s="77" t="s">
        <v>2618</v>
      </c>
      <c r="B4509" s="76" t="s">
        <v>10945</v>
      </c>
    </row>
    <row r="4510" spans="1:2" ht="15">
      <c r="A4510" s="77" t="s">
        <v>8211</v>
      </c>
      <c r="B4510" s="76" t="s">
        <v>10945</v>
      </c>
    </row>
    <row r="4511" spans="1:2" ht="15">
      <c r="A4511" s="77" t="s">
        <v>8212</v>
      </c>
      <c r="B4511" s="76" t="s">
        <v>10945</v>
      </c>
    </row>
    <row r="4512" spans="1:2" ht="15">
      <c r="A4512" s="77" t="s">
        <v>8213</v>
      </c>
      <c r="B4512" s="76" t="s">
        <v>10945</v>
      </c>
    </row>
    <row r="4513" spans="1:2" ht="15">
      <c r="A4513" s="77" t="s">
        <v>8214</v>
      </c>
      <c r="B4513" s="76" t="s">
        <v>10945</v>
      </c>
    </row>
    <row r="4514" spans="1:2" ht="15">
      <c r="A4514" s="77" t="s">
        <v>8215</v>
      </c>
      <c r="B4514" s="76" t="s">
        <v>10945</v>
      </c>
    </row>
    <row r="4515" spans="1:2" ht="15">
      <c r="A4515" s="77" t="s">
        <v>8216</v>
      </c>
      <c r="B4515" s="76" t="s">
        <v>10945</v>
      </c>
    </row>
    <row r="4516" spans="1:2" ht="15">
      <c r="A4516" s="77" t="s">
        <v>8217</v>
      </c>
      <c r="B4516" s="76" t="s">
        <v>10945</v>
      </c>
    </row>
    <row r="4517" spans="1:2" ht="15">
      <c r="A4517" s="77" t="s">
        <v>8218</v>
      </c>
      <c r="B4517" s="76" t="s">
        <v>10945</v>
      </c>
    </row>
    <row r="4518" spans="1:2" ht="15">
      <c r="A4518" s="77" t="s">
        <v>8219</v>
      </c>
      <c r="B4518" s="76" t="s">
        <v>10945</v>
      </c>
    </row>
    <row r="4519" spans="1:2" ht="15">
      <c r="A4519" s="77" t="s">
        <v>8220</v>
      </c>
      <c r="B4519" s="76" t="s">
        <v>10945</v>
      </c>
    </row>
    <row r="4520" spans="1:2" ht="15">
      <c r="A4520" s="77" t="s">
        <v>8221</v>
      </c>
      <c r="B4520" s="76" t="s">
        <v>10945</v>
      </c>
    </row>
    <row r="4521" spans="1:2" ht="15">
      <c r="A4521" s="77" t="s">
        <v>8222</v>
      </c>
      <c r="B4521" s="76" t="s">
        <v>10945</v>
      </c>
    </row>
    <row r="4522" spans="1:2" ht="15">
      <c r="A4522" s="77" t="s">
        <v>8223</v>
      </c>
      <c r="B4522" s="76" t="s">
        <v>10945</v>
      </c>
    </row>
    <row r="4523" spans="1:2" ht="15">
      <c r="A4523" s="77" t="s">
        <v>8224</v>
      </c>
      <c r="B4523" s="76" t="s">
        <v>10945</v>
      </c>
    </row>
    <row r="4524" spans="1:2" ht="15">
      <c r="A4524" s="77" t="s">
        <v>8225</v>
      </c>
      <c r="B4524" s="76" t="s">
        <v>10945</v>
      </c>
    </row>
    <row r="4525" spans="1:2" ht="15">
      <c r="A4525" s="77" t="s">
        <v>8226</v>
      </c>
      <c r="B4525" s="76" t="s">
        <v>10945</v>
      </c>
    </row>
    <row r="4526" spans="1:2" ht="15">
      <c r="A4526" s="77" t="s">
        <v>8227</v>
      </c>
      <c r="B4526" s="76" t="s">
        <v>10945</v>
      </c>
    </row>
    <row r="4527" spans="1:2" ht="15">
      <c r="A4527" s="77" t="s">
        <v>8228</v>
      </c>
      <c r="B4527" s="76" t="s">
        <v>10945</v>
      </c>
    </row>
    <row r="4528" spans="1:2" ht="15">
      <c r="A4528" s="77" t="s">
        <v>8229</v>
      </c>
      <c r="B4528" s="76" t="s">
        <v>10945</v>
      </c>
    </row>
    <row r="4529" spans="1:2" ht="15">
      <c r="A4529" s="77" t="s">
        <v>8230</v>
      </c>
      <c r="B4529" s="76" t="s">
        <v>10945</v>
      </c>
    </row>
    <row r="4530" spans="1:2" ht="15">
      <c r="A4530" s="77" t="s">
        <v>8231</v>
      </c>
      <c r="B4530" s="76" t="s">
        <v>10945</v>
      </c>
    </row>
    <row r="4531" spans="1:2" ht="15">
      <c r="A4531" s="77" t="s">
        <v>8232</v>
      </c>
      <c r="B4531" s="76" t="s">
        <v>10945</v>
      </c>
    </row>
    <row r="4532" spans="1:2" ht="15">
      <c r="A4532" s="77" t="s">
        <v>8233</v>
      </c>
      <c r="B4532" s="76" t="s">
        <v>10945</v>
      </c>
    </row>
    <row r="4533" spans="1:2" ht="15">
      <c r="A4533" s="77" t="s">
        <v>8234</v>
      </c>
      <c r="B4533" s="76" t="s">
        <v>10945</v>
      </c>
    </row>
    <row r="4534" spans="1:2" ht="15">
      <c r="A4534" s="77" t="s">
        <v>8235</v>
      </c>
      <c r="B4534" s="76" t="s">
        <v>10945</v>
      </c>
    </row>
    <row r="4535" spans="1:2" ht="15">
      <c r="A4535" s="77" t="s">
        <v>8236</v>
      </c>
      <c r="B4535" s="76" t="s">
        <v>10945</v>
      </c>
    </row>
    <row r="4536" spans="1:2" ht="15">
      <c r="A4536" s="77" t="s">
        <v>8237</v>
      </c>
      <c r="B4536" s="76" t="s">
        <v>10945</v>
      </c>
    </row>
    <row r="4537" spans="1:2" ht="15">
      <c r="A4537" s="77" t="s">
        <v>8238</v>
      </c>
      <c r="B4537" s="76" t="s">
        <v>10945</v>
      </c>
    </row>
    <row r="4538" spans="1:2" ht="15">
      <c r="A4538" s="77" t="s">
        <v>8239</v>
      </c>
      <c r="B4538" s="76" t="s">
        <v>10945</v>
      </c>
    </row>
    <row r="4539" spans="1:2" ht="15">
      <c r="A4539" s="77" t="s">
        <v>8240</v>
      </c>
      <c r="B4539" s="76" t="s">
        <v>10945</v>
      </c>
    </row>
    <row r="4540" spans="1:2" ht="15">
      <c r="A4540" s="77" t="s">
        <v>8241</v>
      </c>
      <c r="B4540" s="76" t="s">
        <v>10945</v>
      </c>
    </row>
    <row r="4541" spans="1:2" ht="15">
      <c r="A4541" s="77" t="s">
        <v>8242</v>
      </c>
      <c r="B4541" s="76" t="s">
        <v>10945</v>
      </c>
    </row>
    <row r="4542" spans="1:2" ht="15">
      <c r="A4542" s="77" t="s">
        <v>8243</v>
      </c>
      <c r="B4542" s="76" t="s">
        <v>10945</v>
      </c>
    </row>
    <row r="4543" spans="1:2" ht="15">
      <c r="A4543" s="77" t="s">
        <v>8244</v>
      </c>
      <c r="B4543" s="76" t="s">
        <v>10945</v>
      </c>
    </row>
    <row r="4544" spans="1:2" ht="15">
      <c r="A4544" s="77" t="s">
        <v>8245</v>
      </c>
      <c r="B4544" s="76" t="s">
        <v>10945</v>
      </c>
    </row>
    <row r="4545" spans="1:2" ht="15">
      <c r="A4545" s="77" t="s">
        <v>8246</v>
      </c>
      <c r="B4545" s="76" t="s">
        <v>10945</v>
      </c>
    </row>
    <row r="4546" spans="1:2" ht="15">
      <c r="A4546" s="77" t="s">
        <v>8247</v>
      </c>
      <c r="B4546" s="76" t="s">
        <v>10945</v>
      </c>
    </row>
    <row r="4547" spans="1:2" ht="15">
      <c r="A4547" s="77" t="s">
        <v>8248</v>
      </c>
      <c r="B4547" s="76" t="s">
        <v>10945</v>
      </c>
    </row>
    <row r="4548" spans="1:2" ht="15">
      <c r="A4548" s="77" t="s">
        <v>8249</v>
      </c>
      <c r="B4548" s="76" t="s">
        <v>10945</v>
      </c>
    </row>
    <row r="4549" spans="1:2" ht="15">
      <c r="A4549" s="77" t="s">
        <v>8250</v>
      </c>
      <c r="B4549" s="76" t="s">
        <v>10945</v>
      </c>
    </row>
    <row r="4550" spans="1:2" ht="15">
      <c r="A4550" s="77" t="s">
        <v>8251</v>
      </c>
      <c r="B4550" s="76" t="s">
        <v>10945</v>
      </c>
    </row>
    <row r="4551" spans="1:2" ht="15">
      <c r="A4551" s="77" t="s">
        <v>8252</v>
      </c>
      <c r="B4551" s="76" t="s">
        <v>10945</v>
      </c>
    </row>
    <row r="4552" spans="1:2" ht="15">
      <c r="A4552" s="77" t="s">
        <v>3678</v>
      </c>
      <c r="B4552" s="76" t="s">
        <v>10945</v>
      </c>
    </row>
    <row r="4553" spans="1:2" ht="15">
      <c r="A4553" s="77" t="s">
        <v>2710</v>
      </c>
      <c r="B4553" s="76" t="s">
        <v>10945</v>
      </c>
    </row>
    <row r="4554" spans="1:2" ht="15">
      <c r="A4554" s="77" t="s">
        <v>8253</v>
      </c>
      <c r="B4554" s="76" t="s">
        <v>10945</v>
      </c>
    </row>
    <row r="4555" spans="1:2" ht="15">
      <c r="A4555" s="77" t="s">
        <v>8254</v>
      </c>
      <c r="B4555" s="76" t="s">
        <v>10945</v>
      </c>
    </row>
    <row r="4556" spans="1:2" ht="15">
      <c r="A4556" s="77" t="s">
        <v>8255</v>
      </c>
      <c r="B4556" s="76" t="s">
        <v>10945</v>
      </c>
    </row>
    <row r="4557" spans="1:2" ht="15">
      <c r="A4557" s="77" t="s">
        <v>8256</v>
      </c>
      <c r="B4557" s="76" t="s">
        <v>10945</v>
      </c>
    </row>
    <row r="4558" spans="1:2" ht="15">
      <c r="A4558" s="77" t="s">
        <v>8257</v>
      </c>
      <c r="B4558" s="76" t="s">
        <v>10945</v>
      </c>
    </row>
    <row r="4559" spans="1:2" ht="15">
      <c r="A4559" s="77" t="s">
        <v>8258</v>
      </c>
      <c r="B4559" s="76" t="s">
        <v>10945</v>
      </c>
    </row>
    <row r="4560" spans="1:2" ht="15">
      <c r="A4560" s="77" t="s">
        <v>8259</v>
      </c>
      <c r="B4560" s="76" t="s">
        <v>10945</v>
      </c>
    </row>
    <row r="4561" spans="1:2" ht="15">
      <c r="A4561" s="77" t="s">
        <v>8260</v>
      </c>
      <c r="B4561" s="76" t="s">
        <v>10945</v>
      </c>
    </row>
    <row r="4562" spans="1:2" ht="15">
      <c r="A4562" s="77" t="s">
        <v>8261</v>
      </c>
      <c r="B4562" s="76" t="s">
        <v>10945</v>
      </c>
    </row>
    <row r="4563" spans="1:2" ht="15">
      <c r="A4563" s="77" t="s">
        <v>8262</v>
      </c>
      <c r="B4563" s="76" t="s">
        <v>10945</v>
      </c>
    </row>
    <row r="4564" spans="1:2" ht="15">
      <c r="A4564" s="77" t="s">
        <v>8263</v>
      </c>
      <c r="B4564" s="76" t="s">
        <v>10945</v>
      </c>
    </row>
    <row r="4565" spans="1:2" ht="15">
      <c r="A4565" s="77" t="s">
        <v>8264</v>
      </c>
      <c r="B4565" s="76" t="s">
        <v>10945</v>
      </c>
    </row>
    <row r="4566" spans="1:2" ht="15">
      <c r="A4566" s="77" t="s">
        <v>8265</v>
      </c>
      <c r="B4566" s="76" t="s">
        <v>10945</v>
      </c>
    </row>
    <row r="4567" spans="1:2" ht="15">
      <c r="A4567" s="77" t="s">
        <v>8266</v>
      </c>
      <c r="B4567" s="76" t="s">
        <v>10945</v>
      </c>
    </row>
    <row r="4568" spans="1:2" ht="15">
      <c r="A4568" s="77" t="s">
        <v>8267</v>
      </c>
      <c r="B4568" s="76" t="s">
        <v>10945</v>
      </c>
    </row>
    <row r="4569" spans="1:2" ht="15">
      <c r="A4569" s="77" t="s">
        <v>8268</v>
      </c>
      <c r="B4569" s="76" t="s">
        <v>10945</v>
      </c>
    </row>
    <row r="4570" spans="1:2" ht="15">
      <c r="A4570" s="77" t="s">
        <v>8269</v>
      </c>
      <c r="B4570" s="76" t="s">
        <v>10945</v>
      </c>
    </row>
    <row r="4571" spans="1:2" ht="15">
      <c r="A4571" s="77" t="s">
        <v>8270</v>
      </c>
      <c r="B4571" s="76" t="s">
        <v>10945</v>
      </c>
    </row>
    <row r="4572" spans="1:2" ht="15">
      <c r="A4572" s="77" t="s">
        <v>8271</v>
      </c>
      <c r="B4572" s="76" t="s">
        <v>10945</v>
      </c>
    </row>
    <row r="4573" spans="1:2" ht="15">
      <c r="A4573" s="77" t="s">
        <v>8272</v>
      </c>
      <c r="B4573" s="76" t="s">
        <v>10945</v>
      </c>
    </row>
    <row r="4574" spans="1:2" ht="15">
      <c r="A4574" s="77" t="s">
        <v>8273</v>
      </c>
      <c r="B4574" s="76" t="s">
        <v>10945</v>
      </c>
    </row>
    <row r="4575" spans="1:2" ht="15">
      <c r="A4575" s="77" t="s">
        <v>8274</v>
      </c>
      <c r="B4575" s="76" t="s">
        <v>10945</v>
      </c>
    </row>
    <row r="4576" spans="1:2" ht="15">
      <c r="A4576" s="77" t="s">
        <v>8275</v>
      </c>
      <c r="B4576" s="76" t="s">
        <v>10945</v>
      </c>
    </row>
    <row r="4577" spans="1:2" ht="15">
      <c r="A4577" s="77" t="s">
        <v>8276</v>
      </c>
      <c r="B4577" s="76" t="s">
        <v>10945</v>
      </c>
    </row>
    <row r="4578" spans="1:2" ht="15">
      <c r="A4578" s="77" t="s">
        <v>8277</v>
      </c>
      <c r="B4578" s="76" t="s">
        <v>10945</v>
      </c>
    </row>
    <row r="4579" spans="1:2" ht="15">
      <c r="A4579" s="77" t="s">
        <v>8278</v>
      </c>
      <c r="B4579" s="76" t="s">
        <v>10945</v>
      </c>
    </row>
    <row r="4580" spans="1:2" ht="15">
      <c r="A4580" s="77" t="s">
        <v>8279</v>
      </c>
      <c r="B4580" s="76" t="s">
        <v>10945</v>
      </c>
    </row>
    <row r="4581" spans="1:2" ht="15">
      <c r="A4581" s="77" t="s">
        <v>8280</v>
      </c>
      <c r="B4581" s="76" t="s">
        <v>10945</v>
      </c>
    </row>
    <row r="4582" spans="1:2" ht="15">
      <c r="A4582" s="77" t="s">
        <v>8281</v>
      </c>
      <c r="B4582" s="76" t="s">
        <v>10945</v>
      </c>
    </row>
    <row r="4583" spans="1:2" ht="15">
      <c r="A4583" s="77" t="s">
        <v>8282</v>
      </c>
      <c r="B4583" s="76" t="s">
        <v>10945</v>
      </c>
    </row>
    <row r="4584" spans="1:2" ht="15">
      <c r="A4584" s="77" t="s">
        <v>8283</v>
      </c>
      <c r="B4584" s="76" t="s">
        <v>10945</v>
      </c>
    </row>
    <row r="4585" spans="1:2" ht="15">
      <c r="A4585" s="77" t="s">
        <v>8284</v>
      </c>
      <c r="B4585" s="76" t="s">
        <v>10945</v>
      </c>
    </row>
    <row r="4586" spans="1:2" ht="15">
      <c r="A4586" s="77" t="s">
        <v>8285</v>
      </c>
      <c r="B4586" s="76" t="s">
        <v>10945</v>
      </c>
    </row>
    <row r="4587" spans="1:2" ht="15">
      <c r="A4587" s="77" t="s">
        <v>8286</v>
      </c>
      <c r="B4587" s="76" t="s">
        <v>10945</v>
      </c>
    </row>
    <row r="4588" spans="1:2" ht="15">
      <c r="A4588" s="77" t="s">
        <v>8287</v>
      </c>
      <c r="B4588" s="76" t="s">
        <v>10945</v>
      </c>
    </row>
    <row r="4589" spans="1:2" ht="15">
      <c r="A4589" s="77" t="s">
        <v>8288</v>
      </c>
      <c r="B4589" s="76" t="s">
        <v>10945</v>
      </c>
    </row>
    <row r="4590" spans="1:2" ht="15">
      <c r="A4590" s="77" t="s">
        <v>3387</v>
      </c>
      <c r="B4590" s="76" t="s">
        <v>10945</v>
      </c>
    </row>
    <row r="4591" spans="1:2" ht="15">
      <c r="A4591" s="77" t="s">
        <v>8289</v>
      </c>
      <c r="B4591" s="76" t="s">
        <v>10945</v>
      </c>
    </row>
    <row r="4592" spans="1:2" ht="15">
      <c r="A4592" s="77" t="s">
        <v>2896</v>
      </c>
      <c r="B4592" s="76" t="s">
        <v>10945</v>
      </c>
    </row>
    <row r="4593" spans="1:2" ht="15">
      <c r="A4593" s="77" t="s">
        <v>8290</v>
      </c>
      <c r="B4593" s="76" t="s">
        <v>10945</v>
      </c>
    </row>
    <row r="4594" spans="1:2" ht="15">
      <c r="A4594" s="77" t="s">
        <v>8291</v>
      </c>
      <c r="B4594" s="76" t="s">
        <v>10945</v>
      </c>
    </row>
    <row r="4595" spans="1:2" ht="15">
      <c r="A4595" s="77" t="s">
        <v>8292</v>
      </c>
      <c r="B4595" s="76" t="s">
        <v>10945</v>
      </c>
    </row>
    <row r="4596" spans="1:2" ht="15">
      <c r="A4596" s="77" t="s">
        <v>8293</v>
      </c>
      <c r="B4596" s="76" t="s">
        <v>10945</v>
      </c>
    </row>
    <row r="4597" spans="1:2" ht="15">
      <c r="A4597" s="77" t="s">
        <v>8294</v>
      </c>
      <c r="B4597" s="76" t="s">
        <v>10945</v>
      </c>
    </row>
    <row r="4598" spans="1:2" ht="15">
      <c r="A4598" s="77" t="s">
        <v>2599</v>
      </c>
      <c r="B4598" s="76" t="s">
        <v>10945</v>
      </c>
    </row>
    <row r="4599" spans="1:2" ht="15">
      <c r="A4599" s="77" t="s">
        <v>8295</v>
      </c>
      <c r="B4599" s="76" t="s">
        <v>10945</v>
      </c>
    </row>
    <row r="4600" spans="1:2" ht="15">
      <c r="A4600" s="77" t="s">
        <v>8296</v>
      </c>
      <c r="B4600" s="76" t="s">
        <v>10945</v>
      </c>
    </row>
    <row r="4601" spans="1:2" ht="15">
      <c r="A4601" s="77" t="s">
        <v>8297</v>
      </c>
      <c r="B4601" s="76" t="s">
        <v>10945</v>
      </c>
    </row>
    <row r="4602" spans="1:2" ht="15">
      <c r="A4602" s="77" t="s">
        <v>8298</v>
      </c>
      <c r="B4602" s="76" t="s">
        <v>10945</v>
      </c>
    </row>
    <row r="4603" spans="1:2" ht="15">
      <c r="A4603" s="77" t="s">
        <v>8299</v>
      </c>
      <c r="B4603" s="76" t="s">
        <v>10945</v>
      </c>
    </row>
    <row r="4604" spans="1:2" ht="15">
      <c r="A4604" s="77" t="s">
        <v>8300</v>
      </c>
      <c r="B4604" s="76" t="s">
        <v>10945</v>
      </c>
    </row>
    <row r="4605" spans="1:2" ht="15">
      <c r="A4605" s="77" t="s">
        <v>8301</v>
      </c>
      <c r="B4605" s="76" t="s">
        <v>10945</v>
      </c>
    </row>
    <row r="4606" spans="1:2" ht="15">
      <c r="A4606" s="77" t="s">
        <v>8302</v>
      </c>
      <c r="B4606" s="76" t="s">
        <v>10945</v>
      </c>
    </row>
    <row r="4607" spans="1:2" ht="15">
      <c r="A4607" s="77" t="s">
        <v>8303</v>
      </c>
      <c r="B4607" s="76" t="s">
        <v>10945</v>
      </c>
    </row>
    <row r="4608" spans="1:2" ht="15">
      <c r="A4608" s="77" t="s">
        <v>8304</v>
      </c>
      <c r="B4608" s="76" t="s">
        <v>10945</v>
      </c>
    </row>
    <row r="4609" spans="1:2" ht="15">
      <c r="A4609" s="77" t="s">
        <v>8305</v>
      </c>
      <c r="B4609" s="76" t="s">
        <v>10945</v>
      </c>
    </row>
    <row r="4610" spans="1:2" ht="15">
      <c r="A4610" s="77" t="s">
        <v>8306</v>
      </c>
      <c r="B4610" s="76" t="s">
        <v>10945</v>
      </c>
    </row>
    <row r="4611" spans="1:2" ht="15">
      <c r="A4611" s="77" t="s">
        <v>8307</v>
      </c>
      <c r="B4611" s="76" t="s">
        <v>10945</v>
      </c>
    </row>
    <row r="4612" spans="1:2" ht="15">
      <c r="A4612" s="77" t="s">
        <v>8308</v>
      </c>
      <c r="B4612" s="76" t="s">
        <v>10945</v>
      </c>
    </row>
    <row r="4613" spans="1:2" ht="15">
      <c r="A4613" s="77" t="s">
        <v>8309</v>
      </c>
      <c r="B4613" s="76" t="s">
        <v>10945</v>
      </c>
    </row>
    <row r="4614" spans="1:2" ht="15">
      <c r="A4614" s="77" t="s">
        <v>8310</v>
      </c>
      <c r="B4614" s="76" t="s">
        <v>10945</v>
      </c>
    </row>
    <row r="4615" spans="1:2" ht="15">
      <c r="A4615" s="77" t="s">
        <v>2973</v>
      </c>
      <c r="B4615" s="76" t="s">
        <v>10945</v>
      </c>
    </row>
    <row r="4616" spans="1:2" ht="15">
      <c r="A4616" s="77" t="s">
        <v>8311</v>
      </c>
      <c r="B4616" s="76" t="s">
        <v>10945</v>
      </c>
    </row>
    <row r="4617" spans="1:2" ht="15">
      <c r="A4617" s="77" t="s">
        <v>8312</v>
      </c>
      <c r="B4617" s="76" t="s">
        <v>10945</v>
      </c>
    </row>
    <row r="4618" spans="1:2" ht="15">
      <c r="A4618" s="77" t="s">
        <v>2880</v>
      </c>
      <c r="B4618" s="76" t="s">
        <v>10945</v>
      </c>
    </row>
    <row r="4619" spans="1:2" ht="15">
      <c r="A4619" s="77" t="s">
        <v>8313</v>
      </c>
      <c r="B4619" s="76" t="s">
        <v>10945</v>
      </c>
    </row>
    <row r="4620" spans="1:2" ht="15">
      <c r="A4620" s="77" t="s">
        <v>8314</v>
      </c>
      <c r="B4620" s="76" t="s">
        <v>10945</v>
      </c>
    </row>
    <row r="4621" spans="1:2" ht="15">
      <c r="A4621" s="77" t="s">
        <v>2890</v>
      </c>
      <c r="B4621" s="76" t="s">
        <v>10945</v>
      </c>
    </row>
    <row r="4622" spans="1:2" ht="15">
      <c r="A4622" s="77" t="s">
        <v>8315</v>
      </c>
      <c r="B4622" s="76" t="s">
        <v>10945</v>
      </c>
    </row>
    <row r="4623" spans="1:2" ht="15">
      <c r="A4623" s="77" t="s">
        <v>8316</v>
      </c>
      <c r="B4623" s="76" t="s">
        <v>10945</v>
      </c>
    </row>
    <row r="4624" spans="1:2" ht="15">
      <c r="A4624" s="77" t="s">
        <v>8317</v>
      </c>
      <c r="B4624" s="76" t="s">
        <v>10945</v>
      </c>
    </row>
    <row r="4625" spans="1:2" ht="15">
      <c r="A4625" s="77" t="s">
        <v>8318</v>
      </c>
      <c r="B4625" s="76" t="s">
        <v>10945</v>
      </c>
    </row>
    <row r="4626" spans="1:2" ht="15">
      <c r="A4626" s="77" t="s">
        <v>8319</v>
      </c>
      <c r="B4626" s="76" t="s">
        <v>10945</v>
      </c>
    </row>
    <row r="4627" spans="1:2" ht="15">
      <c r="A4627" s="77" t="s">
        <v>8320</v>
      </c>
      <c r="B4627" s="76" t="s">
        <v>10945</v>
      </c>
    </row>
    <row r="4628" spans="1:2" ht="15">
      <c r="A4628" s="77" t="s">
        <v>8321</v>
      </c>
      <c r="B4628" s="76" t="s">
        <v>10945</v>
      </c>
    </row>
    <row r="4629" spans="1:2" ht="15">
      <c r="A4629" s="77" t="s">
        <v>8322</v>
      </c>
      <c r="B4629" s="76" t="s">
        <v>10945</v>
      </c>
    </row>
    <row r="4630" spans="1:2" ht="15">
      <c r="A4630" s="77" t="s">
        <v>8323</v>
      </c>
      <c r="B4630" s="76" t="s">
        <v>10945</v>
      </c>
    </row>
    <row r="4631" spans="1:2" ht="15">
      <c r="A4631" s="77" t="s">
        <v>8324</v>
      </c>
      <c r="B4631" s="76" t="s">
        <v>10945</v>
      </c>
    </row>
    <row r="4632" spans="1:2" ht="15">
      <c r="A4632" s="77" t="s">
        <v>8325</v>
      </c>
      <c r="B4632" s="76" t="s">
        <v>10945</v>
      </c>
    </row>
    <row r="4633" spans="1:2" ht="15">
      <c r="A4633" s="77" t="s">
        <v>8326</v>
      </c>
      <c r="B4633" s="76" t="s">
        <v>10945</v>
      </c>
    </row>
    <row r="4634" spans="1:2" ht="15">
      <c r="A4634" s="77" t="s">
        <v>8327</v>
      </c>
      <c r="B4634" s="76" t="s">
        <v>10945</v>
      </c>
    </row>
    <row r="4635" spans="1:2" ht="15">
      <c r="A4635" s="77" t="s">
        <v>8328</v>
      </c>
      <c r="B4635" s="76" t="s">
        <v>10945</v>
      </c>
    </row>
    <row r="4636" spans="1:2" ht="15">
      <c r="A4636" s="77" t="s">
        <v>8329</v>
      </c>
      <c r="B4636" s="76" t="s">
        <v>10945</v>
      </c>
    </row>
    <row r="4637" spans="1:2" ht="15">
      <c r="A4637" s="77" t="s">
        <v>8330</v>
      </c>
      <c r="B4637" s="76" t="s">
        <v>10945</v>
      </c>
    </row>
    <row r="4638" spans="1:2" ht="15">
      <c r="A4638" s="77" t="s">
        <v>8331</v>
      </c>
      <c r="B4638" s="76" t="s">
        <v>10945</v>
      </c>
    </row>
    <row r="4639" spans="1:2" ht="15">
      <c r="A4639" s="77" t="s">
        <v>8332</v>
      </c>
      <c r="B4639" s="76" t="s">
        <v>10945</v>
      </c>
    </row>
    <row r="4640" spans="1:2" ht="15">
      <c r="A4640" s="77" t="s">
        <v>8333</v>
      </c>
      <c r="B4640" s="76" t="s">
        <v>10945</v>
      </c>
    </row>
    <row r="4641" spans="1:2" ht="15">
      <c r="A4641" s="77" t="s">
        <v>8334</v>
      </c>
      <c r="B4641" s="76" t="s">
        <v>10945</v>
      </c>
    </row>
    <row r="4642" spans="1:2" ht="15">
      <c r="A4642" s="77" t="s">
        <v>8335</v>
      </c>
      <c r="B4642" s="76" t="s">
        <v>10945</v>
      </c>
    </row>
    <row r="4643" spans="1:2" ht="15">
      <c r="A4643" s="77" t="s">
        <v>8336</v>
      </c>
      <c r="B4643" s="76" t="s">
        <v>10945</v>
      </c>
    </row>
    <row r="4644" spans="1:2" ht="15">
      <c r="A4644" s="77" t="s">
        <v>8337</v>
      </c>
      <c r="B4644" s="76" t="s">
        <v>10945</v>
      </c>
    </row>
    <row r="4645" spans="1:2" ht="15">
      <c r="A4645" s="77" t="s">
        <v>8338</v>
      </c>
      <c r="B4645" s="76" t="s">
        <v>10945</v>
      </c>
    </row>
    <row r="4646" spans="1:2" ht="15">
      <c r="A4646" s="77" t="s">
        <v>8339</v>
      </c>
      <c r="B4646" s="76" t="s">
        <v>10945</v>
      </c>
    </row>
    <row r="4647" spans="1:2" ht="15">
      <c r="A4647" s="77" t="s">
        <v>8340</v>
      </c>
      <c r="B4647" s="76" t="s">
        <v>10945</v>
      </c>
    </row>
    <row r="4648" spans="1:2" ht="15">
      <c r="A4648" s="77" t="s">
        <v>8341</v>
      </c>
      <c r="B4648" s="76" t="s">
        <v>10945</v>
      </c>
    </row>
    <row r="4649" spans="1:2" ht="15">
      <c r="A4649" s="77" t="s">
        <v>8342</v>
      </c>
      <c r="B4649" s="76" t="s">
        <v>10945</v>
      </c>
    </row>
    <row r="4650" spans="1:2" ht="15">
      <c r="A4650" s="77" t="s">
        <v>8343</v>
      </c>
      <c r="B4650" s="76" t="s">
        <v>10945</v>
      </c>
    </row>
    <row r="4651" spans="1:2" ht="15">
      <c r="A4651" s="77" t="s">
        <v>8344</v>
      </c>
      <c r="B4651" s="76" t="s">
        <v>10945</v>
      </c>
    </row>
    <row r="4652" spans="1:2" ht="15">
      <c r="A4652" s="77" t="s">
        <v>8345</v>
      </c>
      <c r="B4652" s="76" t="s">
        <v>10945</v>
      </c>
    </row>
    <row r="4653" spans="1:2" ht="15">
      <c r="A4653" s="77" t="s">
        <v>8346</v>
      </c>
      <c r="B4653" s="76" t="s">
        <v>10945</v>
      </c>
    </row>
    <row r="4654" spans="1:2" ht="15">
      <c r="A4654" s="77" t="s">
        <v>8347</v>
      </c>
      <c r="B4654" s="76" t="s">
        <v>10945</v>
      </c>
    </row>
    <row r="4655" spans="1:2" ht="15">
      <c r="A4655" s="77" t="s">
        <v>8348</v>
      </c>
      <c r="B4655" s="76" t="s">
        <v>10945</v>
      </c>
    </row>
    <row r="4656" spans="1:2" ht="15">
      <c r="A4656" s="77" t="s">
        <v>8349</v>
      </c>
      <c r="B4656" s="76" t="s">
        <v>10945</v>
      </c>
    </row>
    <row r="4657" spans="1:2" ht="15">
      <c r="A4657" s="77" t="s">
        <v>8350</v>
      </c>
      <c r="B4657" s="76" t="s">
        <v>10945</v>
      </c>
    </row>
    <row r="4658" spans="1:2" ht="15">
      <c r="A4658" s="77" t="s">
        <v>8351</v>
      </c>
      <c r="B4658" s="76" t="s">
        <v>10945</v>
      </c>
    </row>
    <row r="4659" spans="1:2" ht="15">
      <c r="A4659" s="77" t="s">
        <v>8352</v>
      </c>
      <c r="B4659" s="76" t="s">
        <v>10945</v>
      </c>
    </row>
    <row r="4660" spans="1:2" ht="15">
      <c r="A4660" s="77" t="s">
        <v>8353</v>
      </c>
      <c r="B4660" s="76" t="s">
        <v>10945</v>
      </c>
    </row>
    <row r="4661" spans="1:2" ht="15">
      <c r="A4661" s="77" t="s">
        <v>8354</v>
      </c>
      <c r="B4661" s="76" t="s">
        <v>10945</v>
      </c>
    </row>
    <row r="4662" spans="1:2" ht="15">
      <c r="A4662" s="77" t="s">
        <v>8355</v>
      </c>
      <c r="B4662" s="76" t="s">
        <v>10945</v>
      </c>
    </row>
    <row r="4663" spans="1:2" ht="15">
      <c r="A4663" s="77" t="s">
        <v>8356</v>
      </c>
      <c r="B4663" s="76" t="s">
        <v>10945</v>
      </c>
    </row>
    <row r="4664" spans="1:2" ht="15">
      <c r="A4664" s="77" t="s">
        <v>8357</v>
      </c>
      <c r="B4664" s="76" t="s">
        <v>10945</v>
      </c>
    </row>
    <row r="4665" spans="1:2" ht="15">
      <c r="A4665" s="77" t="s">
        <v>8358</v>
      </c>
      <c r="B4665" s="76" t="s">
        <v>10945</v>
      </c>
    </row>
    <row r="4666" spans="1:2" ht="15">
      <c r="A4666" s="77" t="s">
        <v>8359</v>
      </c>
      <c r="B4666" s="76" t="s">
        <v>10945</v>
      </c>
    </row>
    <row r="4667" spans="1:2" ht="15">
      <c r="A4667" s="77" t="s">
        <v>8360</v>
      </c>
      <c r="B4667" s="76" t="s">
        <v>10945</v>
      </c>
    </row>
    <row r="4668" spans="1:2" ht="15">
      <c r="A4668" s="77" t="s">
        <v>8361</v>
      </c>
      <c r="B4668" s="76" t="s">
        <v>10945</v>
      </c>
    </row>
    <row r="4669" spans="1:2" ht="15">
      <c r="A4669" s="77" t="s">
        <v>8362</v>
      </c>
      <c r="B4669" s="76" t="s">
        <v>10945</v>
      </c>
    </row>
    <row r="4670" spans="1:2" ht="15">
      <c r="A4670" s="77" t="s">
        <v>8363</v>
      </c>
      <c r="B4670" s="76" t="s">
        <v>10945</v>
      </c>
    </row>
    <row r="4671" spans="1:2" ht="15">
      <c r="A4671" s="77" t="s">
        <v>3616</v>
      </c>
      <c r="B4671" s="76" t="s">
        <v>10945</v>
      </c>
    </row>
    <row r="4672" spans="1:2" ht="15">
      <c r="A4672" s="77" t="s">
        <v>8364</v>
      </c>
      <c r="B4672" s="76" t="s">
        <v>10945</v>
      </c>
    </row>
    <row r="4673" spans="1:2" ht="15">
      <c r="A4673" s="77" t="s">
        <v>8365</v>
      </c>
      <c r="B4673" s="76" t="s">
        <v>10945</v>
      </c>
    </row>
    <row r="4674" spans="1:2" ht="15">
      <c r="A4674" s="77" t="s">
        <v>8366</v>
      </c>
      <c r="B4674" s="76" t="s">
        <v>10945</v>
      </c>
    </row>
    <row r="4675" spans="1:2" ht="15">
      <c r="A4675" s="77" t="s">
        <v>8367</v>
      </c>
      <c r="B4675" s="76" t="s">
        <v>10945</v>
      </c>
    </row>
    <row r="4676" spans="1:2" ht="15">
      <c r="A4676" s="77" t="s">
        <v>8368</v>
      </c>
      <c r="B4676" s="76" t="s">
        <v>10945</v>
      </c>
    </row>
    <row r="4677" spans="1:2" ht="15">
      <c r="A4677" s="77" t="s">
        <v>8369</v>
      </c>
      <c r="B4677" s="76" t="s">
        <v>10945</v>
      </c>
    </row>
    <row r="4678" spans="1:2" ht="15">
      <c r="A4678" s="77" t="s">
        <v>8370</v>
      </c>
      <c r="B4678" s="76" t="s">
        <v>10945</v>
      </c>
    </row>
    <row r="4679" spans="1:2" ht="15">
      <c r="A4679" s="77" t="s">
        <v>8371</v>
      </c>
      <c r="B4679" s="76" t="s">
        <v>10945</v>
      </c>
    </row>
    <row r="4680" spans="1:2" ht="15">
      <c r="A4680" s="77" t="s">
        <v>8372</v>
      </c>
      <c r="B4680" s="76" t="s">
        <v>10945</v>
      </c>
    </row>
    <row r="4681" spans="1:2" ht="15">
      <c r="A4681" s="77" t="s">
        <v>8373</v>
      </c>
      <c r="B4681" s="76" t="s">
        <v>10945</v>
      </c>
    </row>
    <row r="4682" spans="1:2" ht="15">
      <c r="A4682" s="77" t="s">
        <v>8374</v>
      </c>
      <c r="B4682" s="76" t="s">
        <v>10945</v>
      </c>
    </row>
    <row r="4683" spans="1:2" ht="15">
      <c r="A4683" s="77" t="s">
        <v>8375</v>
      </c>
      <c r="B4683" s="76" t="s">
        <v>10945</v>
      </c>
    </row>
    <row r="4684" spans="1:2" ht="15">
      <c r="A4684" s="77" t="s">
        <v>8376</v>
      </c>
      <c r="B4684" s="76" t="s">
        <v>10945</v>
      </c>
    </row>
    <row r="4685" spans="1:2" ht="15">
      <c r="A4685" s="77" t="s">
        <v>8377</v>
      </c>
      <c r="B4685" s="76" t="s">
        <v>10945</v>
      </c>
    </row>
    <row r="4686" spans="1:2" ht="15">
      <c r="A4686" s="77" t="s">
        <v>8378</v>
      </c>
      <c r="B4686" s="76" t="s">
        <v>10945</v>
      </c>
    </row>
    <row r="4687" spans="1:2" ht="15">
      <c r="A4687" s="77" t="s">
        <v>8379</v>
      </c>
      <c r="B4687" s="76" t="s">
        <v>10945</v>
      </c>
    </row>
    <row r="4688" spans="1:2" ht="15">
      <c r="A4688" s="77" t="s">
        <v>8380</v>
      </c>
      <c r="B4688" s="76" t="s">
        <v>10945</v>
      </c>
    </row>
    <row r="4689" spans="1:2" ht="15">
      <c r="A4689" s="77" t="s">
        <v>8381</v>
      </c>
      <c r="B4689" s="76" t="s">
        <v>10945</v>
      </c>
    </row>
    <row r="4690" spans="1:2" ht="15">
      <c r="A4690" s="77" t="s">
        <v>8382</v>
      </c>
      <c r="B4690" s="76" t="s">
        <v>10945</v>
      </c>
    </row>
    <row r="4691" spans="1:2" ht="15">
      <c r="A4691" s="77" t="s">
        <v>8383</v>
      </c>
      <c r="B4691" s="76" t="s">
        <v>10945</v>
      </c>
    </row>
    <row r="4692" spans="1:2" ht="15">
      <c r="A4692" s="77" t="s">
        <v>8384</v>
      </c>
      <c r="B4692" s="76" t="s">
        <v>10945</v>
      </c>
    </row>
    <row r="4693" spans="1:2" ht="15">
      <c r="A4693" s="77" t="s">
        <v>8385</v>
      </c>
      <c r="B4693" s="76" t="s">
        <v>10945</v>
      </c>
    </row>
    <row r="4694" spans="1:2" ht="15">
      <c r="A4694" s="77" t="s">
        <v>8386</v>
      </c>
      <c r="B4694" s="76" t="s">
        <v>10945</v>
      </c>
    </row>
    <row r="4695" spans="1:2" ht="15">
      <c r="A4695" s="77" t="s">
        <v>8387</v>
      </c>
      <c r="B4695" s="76" t="s">
        <v>10945</v>
      </c>
    </row>
    <row r="4696" spans="1:2" ht="15">
      <c r="A4696" s="77" t="s">
        <v>8388</v>
      </c>
      <c r="B4696" s="76" t="s">
        <v>10945</v>
      </c>
    </row>
    <row r="4697" spans="1:2" ht="15">
      <c r="A4697" s="77" t="s">
        <v>8389</v>
      </c>
      <c r="B4697" s="76" t="s">
        <v>10945</v>
      </c>
    </row>
    <row r="4698" spans="1:2" ht="15">
      <c r="A4698" s="77" t="s">
        <v>8390</v>
      </c>
      <c r="B4698" s="76" t="s">
        <v>10945</v>
      </c>
    </row>
    <row r="4699" spans="1:2" ht="15">
      <c r="A4699" s="77" t="s">
        <v>8391</v>
      </c>
      <c r="B4699" s="76" t="s">
        <v>10945</v>
      </c>
    </row>
    <row r="4700" spans="1:2" ht="15">
      <c r="A4700" s="77" t="s">
        <v>8392</v>
      </c>
      <c r="B4700" s="76" t="s">
        <v>10945</v>
      </c>
    </row>
    <row r="4701" spans="1:2" ht="15">
      <c r="A4701" s="77" t="s">
        <v>8393</v>
      </c>
      <c r="B4701" s="76" t="s">
        <v>10945</v>
      </c>
    </row>
    <row r="4702" spans="1:2" ht="15">
      <c r="A4702" s="77" t="s">
        <v>8394</v>
      </c>
      <c r="B4702" s="76" t="s">
        <v>10945</v>
      </c>
    </row>
    <row r="4703" spans="1:2" ht="15">
      <c r="A4703" s="77" t="s">
        <v>8395</v>
      </c>
      <c r="B4703" s="76" t="s">
        <v>10945</v>
      </c>
    </row>
    <row r="4704" spans="1:2" ht="15">
      <c r="A4704" s="77" t="s">
        <v>8396</v>
      </c>
      <c r="B4704" s="76" t="s">
        <v>10945</v>
      </c>
    </row>
    <row r="4705" spans="1:2" ht="15">
      <c r="A4705" s="77" t="s">
        <v>8397</v>
      </c>
      <c r="B4705" s="76" t="s">
        <v>10945</v>
      </c>
    </row>
    <row r="4706" spans="1:2" ht="15">
      <c r="A4706" s="77" t="s">
        <v>8398</v>
      </c>
      <c r="B4706" s="76" t="s">
        <v>10945</v>
      </c>
    </row>
    <row r="4707" spans="1:2" ht="15">
      <c r="A4707" s="77" t="s">
        <v>8399</v>
      </c>
      <c r="B4707" s="76" t="s">
        <v>10945</v>
      </c>
    </row>
    <row r="4708" spans="1:2" ht="15">
      <c r="A4708" s="77" t="s">
        <v>8400</v>
      </c>
      <c r="B4708" s="76" t="s">
        <v>10945</v>
      </c>
    </row>
    <row r="4709" spans="1:2" ht="15">
      <c r="A4709" s="77" t="s">
        <v>8401</v>
      </c>
      <c r="B4709" s="76" t="s">
        <v>10945</v>
      </c>
    </row>
    <row r="4710" spans="1:2" ht="15">
      <c r="A4710" s="77" t="s">
        <v>8402</v>
      </c>
      <c r="B4710" s="76" t="s">
        <v>10945</v>
      </c>
    </row>
    <row r="4711" spans="1:2" ht="15">
      <c r="A4711" s="77" t="s">
        <v>8403</v>
      </c>
      <c r="B4711" s="76" t="s">
        <v>10945</v>
      </c>
    </row>
    <row r="4712" spans="1:2" ht="15">
      <c r="A4712" s="77" t="s">
        <v>8404</v>
      </c>
      <c r="B4712" s="76" t="s">
        <v>10945</v>
      </c>
    </row>
    <row r="4713" spans="1:2" ht="15">
      <c r="A4713" s="77" t="s">
        <v>8405</v>
      </c>
      <c r="B4713" s="76" t="s">
        <v>10945</v>
      </c>
    </row>
    <row r="4714" spans="1:2" ht="15">
      <c r="A4714" s="77" t="s">
        <v>8406</v>
      </c>
      <c r="B4714" s="76" t="s">
        <v>10945</v>
      </c>
    </row>
    <row r="4715" spans="1:2" ht="15">
      <c r="A4715" s="77" t="s">
        <v>8407</v>
      </c>
      <c r="B4715" s="76" t="s">
        <v>10945</v>
      </c>
    </row>
    <row r="4716" spans="1:2" ht="15">
      <c r="A4716" s="77" t="s">
        <v>8408</v>
      </c>
      <c r="B4716" s="76" t="s">
        <v>10945</v>
      </c>
    </row>
    <row r="4717" spans="1:2" ht="15">
      <c r="A4717" s="77" t="s">
        <v>8409</v>
      </c>
      <c r="B4717" s="76" t="s">
        <v>10945</v>
      </c>
    </row>
    <row r="4718" spans="1:2" ht="15">
      <c r="A4718" s="77" t="s">
        <v>8410</v>
      </c>
      <c r="B4718" s="76" t="s">
        <v>10945</v>
      </c>
    </row>
    <row r="4719" spans="1:2" ht="15">
      <c r="A4719" s="77" t="s">
        <v>8411</v>
      </c>
      <c r="B4719" s="76" t="s">
        <v>10945</v>
      </c>
    </row>
    <row r="4720" spans="1:2" ht="15">
      <c r="A4720" s="77" t="s">
        <v>8412</v>
      </c>
      <c r="B4720" s="76" t="s">
        <v>10945</v>
      </c>
    </row>
    <row r="4721" spans="1:2" ht="15">
      <c r="A4721" s="77" t="s">
        <v>8413</v>
      </c>
      <c r="B4721" s="76" t="s">
        <v>10945</v>
      </c>
    </row>
    <row r="4722" spans="1:2" ht="15">
      <c r="A4722" s="77" t="s">
        <v>8414</v>
      </c>
      <c r="B4722" s="76" t="s">
        <v>10945</v>
      </c>
    </row>
    <row r="4723" spans="1:2" ht="15">
      <c r="A4723" s="77" t="s">
        <v>8415</v>
      </c>
      <c r="B4723" s="76" t="s">
        <v>10945</v>
      </c>
    </row>
    <row r="4724" spans="1:2" ht="15">
      <c r="A4724" s="77" t="s">
        <v>8416</v>
      </c>
      <c r="B4724" s="76" t="s">
        <v>10945</v>
      </c>
    </row>
    <row r="4725" spans="1:2" ht="15">
      <c r="A4725" s="77" t="s">
        <v>8417</v>
      </c>
      <c r="B4725" s="76" t="s">
        <v>10945</v>
      </c>
    </row>
    <row r="4726" spans="1:2" ht="15">
      <c r="A4726" s="77" t="s">
        <v>8418</v>
      </c>
      <c r="B4726" s="76" t="s">
        <v>10945</v>
      </c>
    </row>
    <row r="4727" spans="1:2" ht="15">
      <c r="A4727" s="77" t="s">
        <v>8419</v>
      </c>
      <c r="B4727" s="76" t="s">
        <v>10945</v>
      </c>
    </row>
    <row r="4728" spans="1:2" ht="15">
      <c r="A4728" s="77" t="s">
        <v>8420</v>
      </c>
      <c r="B4728" s="76" t="s">
        <v>10945</v>
      </c>
    </row>
    <row r="4729" spans="1:2" ht="15">
      <c r="A4729" s="77" t="s">
        <v>8421</v>
      </c>
      <c r="B4729" s="76" t="s">
        <v>10945</v>
      </c>
    </row>
    <row r="4730" spans="1:2" ht="15">
      <c r="A4730" s="77" t="s">
        <v>8422</v>
      </c>
      <c r="B4730" s="76" t="s">
        <v>10945</v>
      </c>
    </row>
    <row r="4731" spans="1:2" ht="15">
      <c r="A4731" s="77" t="s">
        <v>8423</v>
      </c>
      <c r="B4731" s="76" t="s">
        <v>10945</v>
      </c>
    </row>
    <row r="4732" spans="1:2" ht="15">
      <c r="A4732" s="77" t="s">
        <v>8424</v>
      </c>
      <c r="B4732" s="76" t="s">
        <v>10945</v>
      </c>
    </row>
    <row r="4733" spans="1:2" ht="15">
      <c r="A4733" s="77" t="s">
        <v>8425</v>
      </c>
      <c r="B4733" s="76" t="s">
        <v>10945</v>
      </c>
    </row>
    <row r="4734" spans="1:2" ht="15">
      <c r="A4734" s="77" t="s">
        <v>8426</v>
      </c>
      <c r="B4734" s="76" t="s">
        <v>10945</v>
      </c>
    </row>
    <row r="4735" spans="1:2" ht="15">
      <c r="A4735" s="77" t="s">
        <v>8427</v>
      </c>
      <c r="B4735" s="76" t="s">
        <v>10945</v>
      </c>
    </row>
    <row r="4736" spans="1:2" ht="15">
      <c r="A4736" s="77" t="s">
        <v>8428</v>
      </c>
      <c r="B4736" s="76" t="s">
        <v>10945</v>
      </c>
    </row>
    <row r="4737" spans="1:2" ht="15">
      <c r="A4737" s="77" t="s">
        <v>8429</v>
      </c>
      <c r="B4737" s="76" t="s">
        <v>10945</v>
      </c>
    </row>
    <row r="4738" spans="1:2" ht="15">
      <c r="A4738" s="77" t="s">
        <v>8430</v>
      </c>
      <c r="B4738" s="76" t="s">
        <v>10945</v>
      </c>
    </row>
    <row r="4739" spans="1:2" ht="15">
      <c r="A4739" s="77" t="s">
        <v>8431</v>
      </c>
      <c r="B4739" s="76" t="s">
        <v>10945</v>
      </c>
    </row>
    <row r="4740" spans="1:2" ht="15">
      <c r="A4740" s="77" t="s">
        <v>8432</v>
      </c>
      <c r="B4740" s="76" t="s">
        <v>10945</v>
      </c>
    </row>
    <row r="4741" spans="1:2" ht="15">
      <c r="A4741" s="77" t="s">
        <v>8433</v>
      </c>
      <c r="B4741" s="76" t="s">
        <v>10945</v>
      </c>
    </row>
    <row r="4742" spans="1:2" ht="15">
      <c r="A4742" s="77" t="s">
        <v>8434</v>
      </c>
      <c r="B4742" s="76" t="s">
        <v>10945</v>
      </c>
    </row>
    <row r="4743" spans="1:2" ht="15">
      <c r="A4743" s="77" t="s">
        <v>8435</v>
      </c>
      <c r="B4743" s="76" t="s">
        <v>10945</v>
      </c>
    </row>
    <row r="4744" spans="1:2" ht="15">
      <c r="A4744" s="77" t="s">
        <v>8436</v>
      </c>
      <c r="B4744" s="76" t="s">
        <v>10945</v>
      </c>
    </row>
    <row r="4745" spans="1:2" ht="15">
      <c r="A4745" s="77" t="s">
        <v>8437</v>
      </c>
      <c r="B4745" s="76" t="s">
        <v>10945</v>
      </c>
    </row>
    <row r="4746" spans="1:2" ht="15">
      <c r="A4746" s="77" t="s">
        <v>8438</v>
      </c>
      <c r="B4746" s="76" t="s">
        <v>10945</v>
      </c>
    </row>
    <row r="4747" spans="1:2" ht="15">
      <c r="A4747" s="77" t="s">
        <v>8439</v>
      </c>
      <c r="B4747" s="76" t="s">
        <v>10945</v>
      </c>
    </row>
    <row r="4748" spans="1:2" ht="15">
      <c r="A4748" s="77" t="s">
        <v>8440</v>
      </c>
      <c r="B4748" s="76" t="s">
        <v>10945</v>
      </c>
    </row>
    <row r="4749" spans="1:2" ht="15">
      <c r="A4749" s="77" t="s">
        <v>8441</v>
      </c>
      <c r="B4749" s="76" t="s">
        <v>10945</v>
      </c>
    </row>
    <row r="4750" spans="1:2" ht="15">
      <c r="A4750" s="77" t="s">
        <v>8442</v>
      </c>
      <c r="B4750" s="76" t="s">
        <v>10945</v>
      </c>
    </row>
    <row r="4751" spans="1:2" ht="15">
      <c r="A4751" s="77" t="s">
        <v>8443</v>
      </c>
      <c r="B4751" s="76" t="s">
        <v>10945</v>
      </c>
    </row>
    <row r="4752" spans="1:2" ht="15">
      <c r="A4752" s="77" t="s">
        <v>8444</v>
      </c>
      <c r="B4752" s="76" t="s">
        <v>10945</v>
      </c>
    </row>
    <row r="4753" spans="1:2" ht="15">
      <c r="A4753" s="77" t="s">
        <v>8445</v>
      </c>
      <c r="B4753" s="76" t="s">
        <v>10945</v>
      </c>
    </row>
    <row r="4754" spans="1:2" ht="15">
      <c r="A4754" s="77" t="s">
        <v>8446</v>
      </c>
      <c r="B4754" s="76" t="s">
        <v>10945</v>
      </c>
    </row>
    <row r="4755" spans="1:2" ht="15">
      <c r="A4755" s="77" t="s">
        <v>8447</v>
      </c>
      <c r="B4755" s="76" t="s">
        <v>10945</v>
      </c>
    </row>
    <row r="4756" spans="1:2" ht="15">
      <c r="A4756" s="77" t="s">
        <v>8448</v>
      </c>
      <c r="B4756" s="76" t="s">
        <v>10945</v>
      </c>
    </row>
    <row r="4757" spans="1:2" ht="15">
      <c r="A4757" s="77" t="s">
        <v>8449</v>
      </c>
      <c r="B4757" s="76" t="s">
        <v>10945</v>
      </c>
    </row>
    <row r="4758" spans="1:2" ht="15">
      <c r="A4758" s="77" t="s">
        <v>8450</v>
      </c>
      <c r="B4758" s="76" t="s">
        <v>10945</v>
      </c>
    </row>
    <row r="4759" spans="1:2" ht="15">
      <c r="A4759" s="77" t="s">
        <v>8451</v>
      </c>
      <c r="B4759" s="76" t="s">
        <v>10945</v>
      </c>
    </row>
    <row r="4760" spans="1:2" ht="15">
      <c r="A4760" s="77" t="s">
        <v>8452</v>
      </c>
      <c r="B4760" s="76" t="s">
        <v>10945</v>
      </c>
    </row>
    <row r="4761" spans="1:2" ht="15">
      <c r="A4761" s="77" t="s">
        <v>8453</v>
      </c>
      <c r="B4761" s="76" t="s">
        <v>10945</v>
      </c>
    </row>
    <row r="4762" spans="1:2" ht="15">
      <c r="A4762" s="77" t="s">
        <v>8454</v>
      </c>
      <c r="B4762" s="76" t="s">
        <v>10945</v>
      </c>
    </row>
    <row r="4763" spans="1:2" ht="15">
      <c r="A4763" s="77" t="s">
        <v>8455</v>
      </c>
      <c r="B4763" s="76" t="s">
        <v>10945</v>
      </c>
    </row>
    <row r="4764" spans="1:2" ht="15">
      <c r="A4764" s="77" t="s">
        <v>8456</v>
      </c>
      <c r="B4764" s="76" t="s">
        <v>10945</v>
      </c>
    </row>
    <row r="4765" spans="1:2" ht="15">
      <c r="A4765" s="77" t="s">
        <v>8457</v>
      </c>
      <c r="B4765" s="76" t="s">
        <v>10945</v>
      </c>
    </row>
    <row r="4766" spans="1:2" ht="15">
      <c r="A4766" s="77" t="s">
        <v>8458</v>
      </c>
      <c r="B4766" s="76" t="s">
        <v>10945</v>
      </c>
    </row>
    <row r="4767" spans="1:2" ht="15">
      <c r="A4767" s="77" t="s">
        <v>8459</v>
      </c>
      <c r="B4767" s="76" t="s">
        <v>10945</v>
      </c>
    </row>
    <row r="4768" spans="1:2" ht="15">
      <c r="A4768" s="77" t="s">
        <v>8460</v>
      </c>
      <c r="B4768" s="76" t="s">
        <v>10945</v>
      </c>
    </row>
    <row r="4769" spans="1:2" ht="15">
      <c r="A4769" s="77" t="s">
        <v>8461</v>
      </c>
      <c r="B4769" s="76" t="s">
        <v>10945</v>
      </c>
    </row>
    <row r="4770" spans="1:2" ht="15">
      <c r="A4770" s="77" t="s">
        <v>8462</v>
      </c>
      <c r="B4770" s="76" t="s">
        <v>10945</v>
      </c>
    </row>
    <row r="4771" spans="1:2" ht="15">
      <c r="A4771" s="77" t="s">
        <v>8463</v>
      </c>
      <c r="B4771" s="76" t="s">
        <v>10945</v>
      </c>
    </row>
    <row r="4772" spans="1:2" ht="15">
      <c r="A4772" s="77" t="s">
        <v>8464</v>
      </c>
      <c r="B4772" s="76" t="s">
        <v>10945</v>
      </c>
    </row>
    <row r="4773" spans="1:2" ht="15">
      <c r="A4773" s="77" t="s">
        <v>8465</v>
      </c>
      <c r="B4773" s="76" t="s">
        <v>10945</v>
      </c>
    </row>
    <row r="4774" spans="1:2" ht="15">
      <c r="A4774" s="77" t="s">
        <v>8466</v>
      </c>
      <c r="B4774" s="76" t="s">
        <v>10945</v>
      </c>
    </row>
    <row r="4775" spans="1:2" ht="15">
      <c r="A4775" s="77" t="s">
        <v>8467</v>
      </c>
      <c r="B4775" s="76" t="s">
        <v>10945</v>
      </c>
    </row>
    <row r="4776" spans="1:2" ht="15">
      <c r="A4776" s="77" t="s">
        <v>8468</v>
      </c>
      <c r="B4776" s="76" t="s">
        <v>10945</v>
      </c>
    </row>
    <row r="4777" spans="1:2" ht="15">
      <c r="A4777" s="77" t="s">
        <v>8469</v>
      </c>
      <c r="B4777" s="76" t="s">
        <v>10945</v>
      </c>
    </row>
    <row r="4778" spans="1:2" ht="15">
      <c r="A4778" s="77" t="s">
        <v>8470</v>
      </c>
      <c r="B4778" s="76" t="s">
        <v>10945</v>
      </c>
    </row>
    <row r="4779" spans="1:2" ht="15">
      <c r="A4779" s="77" t="s">
        <v>8471</v>
      </c>
      <c r="B4779" s="76" t="s">
        <v>10945</v>
      </c>
    </row>
    <row r="4780" spans="1:2" ht="15">
      <c r="A4780" s="77" t="s">
        <v>8472</v>
      </c>
      <c r="B4780" s="76" t="s">
        <v>10945</v>
      </c>
    </row>
    <row r="4781" spans="1:2" ht="15">
      <c r="A4781" s="77" t="s">
        <v>8473</v>
      </c>
      <c r="B4781" s="76" t="s">
        <v>10945</v>
      </c>
    </row>
    <row r="4782" spans="1:2" ht="15">
      <c r="A4782" s="77" t="s">
        <v>8474</v>
      </c>
      <c r="B4782" s="76" t="s">
        <v>10945</v>
      </c>
    </row>
    <row r="4783" spans="1:2" ht="15">
      <c r="A4783" s="77" t="s">
        <v>8475</v>
      </c>
      <c r="B4783" s="76" t="s">
        <v>10945</v>
      </c>
    </row>
    <row r="4784" spans="1:2" ht="15">
      <c r="A4784" s="77" t="s">
        <v>8476</v>
      </c>
      <c r="B4784" s="76" t="s">
        <v>10945</v>
      </c>
    </row>
    <row r="4785" spans="1:2" ht="15">
      <c r="A4785" s="77" t="s">
        <v>8477</v>
      </c>
      <c r="B4785" s="76" t="s">
        <v>10945</v>
      </c>
    </row>
    <row r="4786" spans="1:2" ht="15">
      <c r="A4786" s="77" t="s">
        <v>8478</v>
      </c>
      <c r="B4786" s="76" t="s">
        <v>10945</v>
      </c>
    </row>
    <row r="4787" spans="1:2" ht="15">
      <c r="A4787" s="77" t="s">
        <v>8479</v>
      </c>
      <c r="B4787" s="76" t="s">
        <v>10945</v>
      </c>
    </row>
    <row r="4788" spans="1:2" ht="15">
      <c r="A4788" s="77" t="s">
        <v>8480</v>
      </c>
      <c r="B4788" s="76" t="s">
        <v>10945</v>
      </c>
    </row>
    <row r="4789" spans="1:2" ht="15">
      <c r="A4789" s="77" t="s">
        <v>8481</v>
      </c>
      <c r="B4789" s="76" t="s">
        <v>10945</v>
      </c>
    </row>
    <row r="4790" spans="1:2" ht="15">
      <c r="A4790" s="77" t="s">
        <v>8482</v>
      </c>
      <c r="B4790" s="76" t="s">
        <v>10945</v>
      </c>
    </row>
    <row r="4791" spans="1:2" ht="15">
      <c r="A4791" s="77" t="s">
        <v>8483</v>
      </c>
      <c r="B4791" s="76" t="s">
        <v>10945</v>
      </c>
    </row>
    <row r="4792" spans="1:2" ht="15">
      <c r="A4792" s="77" t="s">
        <v>8484</v>
      </c>
      <c r="B4792" s="76" t="s">
        <v>10945</v>
      </c>
    </row>
    <row r="4793" spans="1:2" ht="15">
      <c r="A4793" s="77" t="s">
        <v>8485</v>
      </c>
      <c r="B4793" s="76" t="s">
        <v>10945</v>
      </c>
    </row>
    <row r="4794" spans="1:2" ht="15">
      <c r="A4794" s="77" t="s">
        <v>8486</v>
      </c>
      <c r="B4794" s="76" t="s">
        <v>10945</v>
      </c>
    </row>
    <row r="4795" spans="1:2" ht="15">
      <c r="A4795" s="77" t="s">
        <v>8487</v>
      </c>
      <c r="B4795" s="76" t="s">
        <v>10945</v>
      </c>
    </row>
    <row r="4796" spans="1:2" ht="15">
      <c r="A4796" s="77" t="s">
        <v>8488</v>
      </c>
      <c r="B4796" s="76" t="s">
        <v>10945</v>
      </c>
    </row>
    <row r="4797" spans="1:2" ht="15">
      <c r="A4797" s="77" t="s">
        <v>8489</v>
      </c>
      <c r="B4797" s="76" t="s">
        <v>10945</v>
      </c>
    </row>
    <row r="4798" spans="1:2" ht="15">
      <c r="A4798" s="77" t="s">
        <v>8490</v>
      </c>
      <c r="B4798" s="76" t="s">
        <v>10945</v>
      </c>
    </row>
    <row r="4799" spans="1:2" ht="15">
      <c r="A4799" s="77" t="s">
        <v>8491</v>
      </c>
      <c r="B4799" s="76" t="s">
        <v>10945</v>
      </c>
    </row>
    <row r="4800" spans="1:2" ht="15">
      <c r="A4800" s="77" t="s">
        <v>8492</v>
      </c>
      <c r="B4800" s="76" t="s">
        <v>10945</v>
      </c>
    </row>
    <row r="4801" spans="1:2" ht="15">
      <c r="A4801" s="77" t="s">
        <v>8493</v>
      </c>
      <c r="B4801" s="76" t="s">
        <v>10945</v>
      </c>
    </row>
    <row r="4802" spans="1:2" ht="15">
      <c r="A4802" s="77" t="s">
        <v>8494</v>
      </c>
      <c r="B4802" s="76" t="s">
        <v>10945</v>
      </c>
    </row>
    <row r="4803" spans="1:2" ht="15">
      <c r="A4803" s="77" t="s">
        <v>8495</v>
      </c>
      <c r="B4803" s="76" t="s">
        <v>10945</v>
      </c>
    </row>
    <row r="4804" spans="1:2" ht="15">
      <c r="A4804" s="77" t="s">
        <v>8496</v>
      </c>
      <c r="B4804" s="76" t="s">
        <v>10945</v>
      </c>
    </row>
    <row r="4805" spans="1:2" ht="15">
      <c r="A4805" s="77" t="s">
        <v>8497</v>
      </c>
      <c r="B4805" s="76" t="s">
        <v>10945</v>
      </c>
    </row>
    <row r="4806" spans="1:2" ht="15">
      <c r="A4806" s="77" t="s">
        <v>8498</v>
      </c>
      <c r="B4806" s="76" t="s">
        <v>10945</v>
      </c>
    </row>
    <row r="4807" spans="1:2" ht="15">
      <c r="A4807" s="77" t="s">
        <v>8499</v>
      </c>
      <c r="B4807" s="76" t="s">
        <v>10945</v>
      </c>
    </row>
    <row r="4808" spans="1:2" ht="15">
      <c r="A4808" s="77" t="s">
        <v>8500</v>
      </c>
      <c r="B4808" s="76" t="s">
        <v>10945</v>
      </c>
    </row>
    <row r="4809" spans="1:2" ht="15">
      <c r="A4809" s="77" t="s">
        <v>8501</v>
      </c>
      <c r="B4809" s="76" t="s">
        <v>10945</v>
      </c>
    </row>
    <row r="4810" spans="1:2" ht="15">
      <c r="A4810" s="77" t="s">
        <v>8502</v>
      </c>
      <c r="B4810" s="76" t="s">
        <v>10945</v>
      </c>
    </row>
    <row r="4811" spans="1:2" ht="15">
      <c r="A4811" s="77" t="s">
        <v>8503</v>
      </c>
      <c r="B4811" s="76" t="s">
        <v>10945</v>
      </c>
    </row>
    <row r="4812" spans="1:2" ht="15">
      <c r="A4812" s="77" t="s">
        <v>8504</v>
      </c>
      <c r="B4812" s="76" t="s">
        <v>10945</v>
      </c>
    </row>
    <row r="4813" spans="1:2" ht="15">
      <c r="A4813" s="77" t="s">
        <v>8505</v>
      </c>
      <c r="B4813" s="76" t="s">
        <v>10945</v>
      </c>
    </row>
    <row r="4814" spans="1:2" ht="15">
      <c r="A4814" s="77" t="s">
        <v>8506</v>
      </c>
      <c r="B4814" s="76" t="s">
        <v>10945</v>
      </c>
    </row>
    <row r="4815" spans="1:2" ht="15">
      <c r="A4815" s="77" t="s">
        <v>8507</v>
      </c>
      <c r="B4815" s="76" t="s">
        <v>10945</v>
      </c>
    </row>
    <row r="4816" spans="1:2" ht="15">
      <c r="A4816" s="77" t="s">
        <v>8508</v>
      </c>
      <c r="B4816" s="76" t="s">
        <v>10945</v>
      </c>
    </row>
    <row r="4817" spans="1:2" ht="15">
      <c r="A4817" s="77" t="s">
        <v>8509</v>
      </c>
      <c r="B4817" s="76" t="s">
        <v>10945</v>
      </c>
    </row>
    <row r="4818" spans="1:2" ht="15">
      <c r="A4818" s="77" t="s">
        <v>8510</v>
      </c>
      <c r="B4818" s="76" t="s">
        <v>10945</v>
      </c>
    </row>
    <row r="4819" spans="1:2" ht="15">
      <c r="A4819" s="77" t="s">
        <v>8511</v>
      </c>
      <c r="B4819" s="76" t="s">
        <v>10945</v>
      </c>
    </row>
    <row r="4820" spans="1:2" ht="15">
      <c r="A4820" s="77" t="s">
        <v>8512</v>
      </c>
      <c r="B4820" s="76" t="s">
        <v>10945</v>
      </c>
    </row>
    <row r="4821" spans="1:2" ht="15">
      <c r="A4821" s="77" t="s">
        <v>8513</v>
      </c>
      <c r="B4821" s="76" t="s">
        <v>10945</v>
      </c>
    </row>
    <row r="4822" spans="1:2" ht="15">
      <c r="A4822" s="77" t="s">
        <v>8514</v>
      </c>
      <c r="B4822" s="76" t="s">
        <v>10945</v>
      </c>
    </row>
    <row r="4823" spans="1:2" ht="15">
      <c r="A4823" s="77" t="s">
        <v>8515</v>
      </c>
      <c r="B4823" s="76" t="s">
        <v>10945</v>
      </c>
    </row>
    <row r="4824" spans="1:2" ht="15">
      <c r="A4824" s="77" t="s">
        <v>8516</v>
      </c>
      <c r="B4824" s="76" t="s">
        <v>10945</v>
      </c>
    </row>
    <row r="4825" spans="1:2" ht="15">
      <c r="A4825" s="77" t="s">
        <v>8517</v>
      </c>
      <c r="B4825" s="76" t="s">
        <v>10945</v>
      </c>
    </row>
    <row r="4826" spans="1:2" ht="15">
      <c r="A4826" s="77" t="s">
        <v>8518</v>
      </c>
      <c r="B4826" s="76" t="s">
        <v>10945</v>
      </c>
    </row>
    <row r="4827" spans="1:2" ht="15">
      <c r="A4827" s="77" t="s">
        <v>8519</v>
      </c>
      <c r="B4827" s="76" t="s">
        <v>10945</v>
      </c>
    </row>
    <row r="4828" spans="1:2" ht="15">
      <c r="A4828" s="77" t="s">
        <v>8520</v>
      </c>
      <c r="B4828" s="76" t="s">
        <v>10945</v>
      </c>
    </row>
    <row r="4829" spans="1:2" ht="15">
      <c r="A4829" s="77" t="s">
        <v>8521</v>
      </c>
      <c r="B4829" s="76" t="s">
        <v>10945</v>
      </c>
    </row>
    <row r="4830" spans="1:2" ht="15">
      <c r="A4830" s="77" t="s">
        <v>8522</v>
      </c>
      <c r="B4830" s="76" t="s">
        <v>10945</v>
      </c>
    </row>
    <row r="4831" spans="1:2" ht="15">
      <c r="A4831" s="77" t="s">
        <v>8523</v>
      </c>
      <c r="B4831" s="76" t="s">
        <v>10945</v>
      </c>
    </row>
    <row r="4832" spans="1:2" ht="15">
      <c r="A4832" s="77" t="s">
        <v>8524</v>
      </c>
      <c r="B4832" s="76" t="s">
        <v>10945</v>
      </c>
    </row>
    <row r="4833" spans="1:2" ht="15">
      <c r="A4833" s="77" t="s">
        <v>8525</v>
      </c>
      <c r="B4833" s="76" t="s">
        <v>10945</v>
      </c>
    </row>
    <row r="4834" spans="1:2" ht="15">
      <c r="A4834" s="77" t="s">
        <v>8526</v>
      </c>
      <c r="B4834" s="76" t="s">
        <v>10945</v>
      </c>
    </row>
    <row r="4835" spans="1:2" ht="15">
      <c r="A4835" s="77" t="s">
        <v>8527</v>
      </c>
      <c r="B4835" s="76" t="s">
        <v>10945</v>
      </c>
    </row>
    <row r="4836" spans="1:2" ht="15">
      <c r="A4836" s="77" t="s">
        <v>8528</v>
      </c>
      <c r="B4836" s="76" t="s">
        <v>10945</v>
      </c>
    </row>
    <row r="4837" spans="1:2" ht="15">
      <c r="A4837" s="77" t="s">
        <v>8529</v>
      </c>
      <c r="B4837" s="76" t="s">
        <v>10945</v>
      </c>
    </row>
    <row r="4838" spans="1:2" ht="15">
      <c r="A4838" s="77" t="s">
        <v>8530</v>
      </c>
      <c r="B4838" s="76" t="s">
        <v>10945</v>
      </c>
    </row>
    <row r="4839" spans="1:2" ht="15">
      <c r="A4839" s="77" t="s">
        <v>8531</v>
      </c>
      <c r="B4839" s="76" t="s">
        <v>10945</v>
      </c>
    </row>
    <row r="4840" spans="1:2" ht="15">
      <c r="A4840" s="77" t="s">
        <v>8532</v>
      </c>
      <c r="B4840" s="76" t="s">
        <v>10945</v>
      </c>
    </row>
    <row r="4841" spans="1:2" ht="15">
      <c r="A4841" s="77" t="s">
        <v>8533</v>
      </c>
      <c r="B4841" s="76" t="s">
        <v>10945</v>
      </c>
    </row>
    <row r="4842" spans="1:2" ht="15">
      <c r="A4842" s="77" t="s">
        <v>8534</v>
      </c>
      <c r="B4842" s="76" t="s">
        <v>10945</v>
      </c>
    </row>
    <row r="4843" spans="1:2" ht="15">
      <c r="A4843" s="77" t="s">
        <v>8535</v>
      </c>
      <c r="B4843" s="76" t="s">
        <v>10945</v>
      </c>
    </row>
    <row r="4844" spans="1:2" ht="15">
      <c r="A4844" s="77" t="s">
        <v>8536</v>
      </c>
      <c r="B4844" s="76" t="s">
        <v>10945</v>
      </c>
    </row>
    <row r="4845" spans="1:2" ht="15">
      <c r="A4845" s="77" t="s">
        <v>8537</v>
      </c>
      <c r="B4845" s="76" t="s">
        <v>10945</v>
      </c>
    </row>
    <row r="4846" spans="1:2" ht="15">
      <c r="A4846" s="77" t="s">
        <v>8538</v>
      </c>
      <c r="B4846" s="76" t="s">
        <v>10945</v>
      </c>
    </row>
    <row r="4847" spans="1:2" ht="15">
      <c r="A4847" s="77" t="s">
        <v>8539</v>
      </c>
      <c r="B4847" s="76" t="s">
        <v>10945</v>
      </c>
    </row>
    <row r="4848" spans="1:2" ht="15">
      <c r="A4848" s="77" t="s">
        <v>8540</v>
      </c>
      <c r="B4848" s="76" t="s">
        <v>10945</v>
      </c>
    </row>
    <row r="4849" spans="1:2" ht="15">
      <c r="A4849" s="77" t="s">
        <v>8541</v>
      </c>
      <c r="B4849" s="76" t="s">
        <v>10945</v>
      </c>
    </row>
    <row r="4850" spans="1:2" ht="15">
      <c r="A4850" s="77" t="s">
        <v>8542</v>
      </c>
      <c r="B4850" s="76" t="s">
        <v>10945</v>
      </c>
    </row>
    <row r="4851" spans="1:2" ht="15">
      <c r="A4851" s="77" t="s">
        <v>8543</v>
      </c>
      <c r="B4851" s="76" t="s">
        <v>10945</v>
      </c>
    </row>
    <row r="4852" spans="1:2" ht="15">
      <c r="A4852" s="77" t="s">
        <v>8544</v>
      </c>
      <c r="B4852" s="76" t="s">
        <v>10945</v>
      </c>
    </row>
    <row r="4853" spans="1:2" ht="15">
      <c r="A4853" s="77" t="s">
        <v>8545</v>
      </c>
      <c r="B4853" s="76" t="s">
        <v>10945</v>
      </c>
    </row>
    <row r="4854" spans="1:2" ht="15">
      <c r="A4854" s="77" t="s">
        <v>8546</v>
      </c>
      <c r="B4854" s="76" t="s">
        <v>10945</v>
      </c>
    </row>
    <row r="4855" spans="1:2" ht="15">
      <c r="A4855" s="77" t="s">
        <v>8547</v>
      </c>
      <c r="B4855" s="76" t="s">
        <v>10945</v>
      </c>
    </row>
    <row r="4856" spans="1:2" ht="15">
      <c r="A4856" s="77" t="s">
        <v>8548</v>
      </c>
      <c r="B4856" s="76" t="s">
        <v>10945</v>
      </c>
    </row>
    <row r="4857" spans="1:2" ht="15">
      <c r="A4857" s="77" t="s">
        <v>8549</v>
      </c>
      <c r="B4857" s="76" t="s">
        <v>10945</v>
      </c>
    </row>
    <row r="4858" spans="1:2" ht="15">
      <c r="A4858" s="77" t="s">
        <v>8550</v>
      </c>
      <c r="B4858" s="76" t="s">
        <v>10945</v>
      </c>
    </row>
    <row r="4859" spans="1:2" ht="15">
      <c r="A4859" s="77" t="s">
        <v>8551</v>
      </c>
      <c r="B4859" s="76" t="s">
        <v>10945</v>
      </c>
    </row>
    <row r="4860" spans="1:2" ht="15">
      <c r="A4860" s="77" t="s">
        <v>8552</v>
      </c>
      <c r="B4860" s="76" t="s">
        <v>10945</v>
      </c>
    </row>
    <row r="4861" spans="1:2" ht="15">
      <c r="A4861" s="77" t="s">
        <v>8553</v>
      </c>
      <c r="B4861" s="76" t="s">
        <v>10945</v>
      </c>
    </row>
    <row r="4862" spans="1:2" ht="15">
      <c r="A4862" s="77" t="s">
        <v>8554</v>
      </c>
      <c r="B4862" s="76" t="s">
        <v>10945</v>
      </c>
    </row>
    <row r="4863" spans="1:2" ht="15">
      <c r="A4863" s="77" t="s">
        <v>8555</v>
      </c>
      <c r="B4863" s="76" t="s">
        <v>10945</v>
      </c>
    </row>
    <row r="4864" spans="1:2" ht="15">
      <c r="A4864" s="77" t="s">
        <v>8556</v>
      </c>
      <c r="B4864" s="76" t="s">
        <v>10945</v>
      </c>
    </row>
    <row r="4865" spans="1:2" ht="15">
      <c r="A4865" s="77" t="s">
        <v>8557</v>
      </c>
      <c r="B4865" s="76" t="s">
        <v>10945</v>
      </c>
    </row>
    <row r="4866" spans="1:2" ht="15">
      <c r="A4866" s="77" t="s">
        <v>8558</v>
      </c>
      <c r="B4866" s="76" t="s">
        <v>10945</v>
      </c>
    </row>
    <row r="4867" spans="1:2" ht="15">
      <c r="A4867" s="77" t="s">
        <v>8559</v>
      </c>
      <c r="B4867" s="76" t="s">
        <v>10945</v>
      </c>
    </row>
    <row r="4868" spans="1:2" ht="15">
      <c r="A4868" s="77" t="s">
        <v>8560</v>
      </c>
      <c r="B4868" s="76" t="s">
        <v>10945</v>
      </c>
    </row>
    <row r="4869" spans="1:2" ht="15">
      <c r="A4869" s="77" t="s">
        <v>8561</v>
      </c>
      <c r="B4869" s="76" t="s">
        <v>10945</v>
      </c>
    </row>
    <row r="4870" spans="1:2" ht="15">
      <c r="A4870" s="77" t="s">
        <v>8562</v>
      </c>
      <c r="B4870" s="76" t="s">
        <v>10945</v>
      </c>
    </row>
    <row r="4871" spans="1:2" ht="15">
      <c r="A4871" s="77" t="s">
        <v>8563</v>
      </c>
      <c r="B4871" s="76" t="s">
        <v>10945</v>
      </c>
    </row>
    <row r="4872" spans="1:2" ht="15">
      <c r="A4872" s="77" t="s">
        <v>8564</v>
      </c>
      <c r="B4872" s="76" t="s">
        <v>10945</v>
      </c>
    </row>
    <row r="4873" spans="1:2" ht="15">
      <c r="A4873" s="77" t="s">
        <v>8565</v>
      </c>
      <c r="B4873" s="76" t="s">
        <v>10945</v>
      </c>
    </row>
    <row r="4874" spans="1:2" ht="15">
      <c r="A4874" s="77" t="s">
        <v>8566</v>
      </c>
      <c r="B4874" s="76" t="s">
        <v>10945</v>
      </c>
    </row>
    <row r="4875" spans="1:2" ht="15">
      <c r="A4875" s="77" t="s">
        <v>8567</v>
      </c>
      <c r="B4875" s="76" t="s">
        <v>10945</v>
      </c>
    </row>
    <row r="4876" spans="1:2" ht="15">
      <c r="A4876" s="77" t="s">
        <v>8568</v>
      </c>
      <c r="B4876" s="76" t="s">
        <v>10945</v>
      </c>
    </row>
    <row r="4877" spans="1:2" ht="15">
      <c r="A4877" s="77" t="s">
        <v>8569</v>
      </c>
      <c r="B4877" s="76" t="s">
        <v>10945</v>
      </c>
    </row>
    <row r="4878" spans="1:2" ht="15">
      <c r="A4878" s="77" t="s">
        <v>8570</v>
      </c>
      <c r="B4878" s="76" t="s">
        <v>10945</v>
      </c>
    </row>
    <row r="4879" spans="1:2" ht="15">
      <c r="A4879" s="77" t="s">
        <v>8571</v>
      </c>
      <c r="B4879" s="76" t="s">
        <v>10945</v>
      </c>
    </row>
    <row r="4880" spans="1:2" ht="15">
      <c r="A4880" s="77" t="s">
        <v>8572</v>
      </c>
      <c r="B4880" s="76" t="s">
        <v>10945</v>
      </c>
    </row>
    <row r="4881" spans="1:2" ht="15">
      <c r="A4881" s="77" t="s">
        <v>8573</v>
      </c>
      <c r="B4881" s="76" t="s">
        <v>10945</v>
      </c>
    </row>
    <row r="4882" spans="1:2" ht="15">
      <c r="A4882" s="77" t="s">
        <v>8574</v>
      </c>
      <c r="B4882" s="76" t="s">
        <v>10945</v>
      </c>
    </row>
    <row r="4883" spans="1:2" ht="15">
      <c r="A4883" s="77" t="s">
        <v>8575</v>
      </c>
      <c r="B4883" s="76" t="s">
        <v>10945</v>
      </c>
    </row>
    <row r="4884" spans="1:2" ht="15">
      <c r="A4884" s="77" t="s">
        <v>8576</v>
      </c>
      <c r="B4884" s="76" t="s">
        <v>10945</v>
      </c>
    </row>
    <row r="4885" spans="1:2" ht="15">
      <c r="A4885" s="77" t="s">
        <v>8577</v>
      </c>
      <c r="B4885" s="76" t="s">
        <v>10945</v>
      </c>
    </row>
    <row r="4886" spans="1:2" ht="15">
      <c r="A4886" s="77" t="s">
        <v>8578</v>
      </c>
      <c r="B4886" s="76" t="s">
        <v>10945</v>
      </c>
    </row>
    <row r="4887" spans="1:2" ht="15">
      <c r="A4887" s="77" t="s">
        <v>8579</v>
      </c>
      <c r="B4887" s="76" t="s">
        <v>10945</v>
      </c>
    </row>
    <row r="4888" spans="1:2" ht="15">
      <c r="A4888" s="77" t="s">
        <v>8580</v>
      </c>
      <c r="B4888" s="76" t="s">
        <v>10945</v>
      </c>
    </row>
    <row r="4889" spans="1:2" ht="15">
      <c r="A4889" s="77" t="s">
        <v>8581</v>
      </c>
      <c r="B4889" s="76" t="s">
        <v>10945</v>
      </c>
    </row>
    <row r="4890" spans="1:2" ht="15">
      <c r="A4890" s="77" t="s">
        <v>8582</v>
      </c>
      <c r="B4890" s="76" t="s">
        <v>10945</v>
      </c>
    </row>
    <row r="4891" spans="1:2" ht="15">
      <c r="A4891" s="77" t="s">
        <v>8583</v>
      </c>
      <c r="B4891" s="76" t="s">
        <v>10945</v>
      </c>
    </row>
    <row r="4892" spans="1:2" ht="15">
      <c r="A4892" s="77" t="s">
        <v>8584</v>
      </c>
      <c r="B4892" s="76" t="s">
        <v>10945</v>
      </c>
    </row>
    <row r="4893" spans="1:2" ht="15">
      <c r="A4893" s="77" t="s">
        <v>8585</v>
      </c>
      <c r="B4893" s="76" t="s">
        <v>10945</v>
      </c>
    </row>
    <row r="4894" spans="1:2" ht="15">
      <c r="A4894" s="77" t="s">
        <v>8586</v>
      </c>
      <c r="B4894" s="76" t="s">
        <v>10945</v>
      </c>
    </row>
    <row r="4895" spans="1:2" ht="15">
      <c r="A4895" s="77" t="s">
        <v>8587</v>
      </c>
      <c r="B4895" s="76" t="s">
        <v>10945</v>
      </c>
    </row>
    <row r="4896" spans="1:2" ht="15">
      <c r="A4896" s="77" t="s">
        <v>8588</v>
      </c>
      <c r="B4896" s="76" t="s">
        <v>10945</v>
      </c>
    </row>
    <row r="4897" spans="1:2" ht="15">
      <c r="A4897" s="77" t="s">
        <v>8589</v>
      </c>
      <c r="B4897" s="76" t="s">
        <v>10945</v>
      </c>
    </row>
    <row r="4898" spans="1:2" ht="15">
      <c r="A4898" s="77" t="s">
        <v>3469</v>
      </c>
      <c r="B4898" s="76" t="s">
        <v>10945</v>
      </c>
    </row>
    <row r="4899" spans="1:2" ht="15">
      <c r="A4899" s="77" t="s">
        <v>8590</v>
      </c>
      <c r="B4899" s="76" t="s">
        <v>10945</v>
      </c>
    </row>
    <row r="4900" spans="1:2" ht="15">
      <c r="A4900" s="77" t="s">
        <v>8591</v>
      </c>
      <c r="B4900" s="76" t="s">
        <v>10945</v>
      </c>
    </row>
    <row r="4901" spans="1:2" ht="15">
      <c r="A4901" s="77" t="s">
        <v>8592</v>
      </c>
      <c r="B4901" s="76" t="s">
        <v>10945</v>
      </c>
    </row>
    <row r="4902" spans="1:2" ht="15">
      <c r="A4902" s="77" t="s">
        <v>8593</v>
      </c>
      <c r="B4902" s="76" t="s">
        <v>10945</v>
      </c>
    </row>
    <row r="4903" spans="1:2" ht="15">
      <c r="A4903" s="77" t="s">
        <v>8594</v>
      </c>
      <c r="B4903" s="76" t="s">
        <v>10945</v>
      </c>
    </row>
    <row r="4904" spans="1:2" ht="15">
      <c r="A4904" s="77" t="s">
        <v>8595</v>
      </c>
      <c r="B4904" s="76" t="s">
        <v>10945</v>
      </c>
    </row>
    <row r="4905" spans="1:2" ht="15">
      <c r="A4905" s="77" t="s">
        <v>8596</v>
      </c>
      <c r="B4905" s="76" t="s">
        <v>10945</v>
      </c>
    </row>
    <row r="4906" spans="1:2" ht="15">
      <c r="A4906" s="77" t="s">
        <v>8597</v>
      </c>
      <c r="B4906" s="76" t="s">
        <v>10945</v>
      </c>
    </row>
    <row r="4907" spans="1:2" ht="15">
      <c r="A4907" s="77" t="s">
        <v>8598</v>
      </c>
      <c r="B4907" s="76" t="s">
        <v>10945</v>
      </c>
    </row>
    <row r="4908" spans="1:2" ht="15">
      <c r="A4908" s="77" t="s">
        <v>8599</v>
      </c>
      <c r="B4908" s="76" t="s">
        <v>10945</v>
      </c>
    </row>
    <row r="4909" spans="1:2" ht="15">
      <c r="A4909" s="77" t="s">
        <v>8600</v>
      </c>
      <c r="B4909" s="76" t="s">
        <v>10945</v>
      </c>
    </row>
    <row r="4910" spans="1:2" ht="15">
      <c r="A4910" s="77" t="s">
        <v>8601</v>
      </c>
      <c r="B4910" s="76" t="s">
        <v>10945</v>
      </c>
    </row>
    <row r="4911" spans="1:2" ht="15">
      <c r="A4911" s="77" t="s">
        <v>8602</v>
      </c>
      <c r="B4911" s="76" t="s">
        <v>10945</v>
      </c>
    </row>
    <row r="4912" spans="1:2" ht="15">
      <c r="A4912" s="77" t="s">
        <v>8603</v>
      </c>
      <c r="B4912" s="76" t="s">
        <v>10945</v>
      </c>
    </row>
    <row r="4913" spans="1:2" ht="15">
      <c r="A4913" s="77" t="s">
        <v>8604</v>
      </c>
      <c r="B4913" s="76" t="s">
        <v>10945</v>
      </c>
    </row>
    <row r="4914" spans="1:2" ht="15">
      <c r="A4914" s="77" t="s">
        <v>8605</v>
      </c>
      <c r="B4914" s="76" t="s">
        <v>10945</v>
      </c>
    </row>
    <row r="4915" spans="1:2" ht="15">
      <c r="A4915" s="77" t="s">
        <v>8606</v>
      </c>
      <c r="B4915" s="76" t="s">
        <v>10945</v>
      </c>
    </row>
    <row r="4916" spans="1:2" ht="15">
      <c r="A4916" s="77" t="s">
        <v>8607</v>
      </c>
      <c r="B4916" s="76" t="s">
        <v>10945</v>
      </c>
    </row>
    <row r="4917" spans="1:2" ht="15">
      <c r="A4917" s="77" t="s">
        <v>8608</v>
      </c>
      <c r="B4917" s="76" t="s">
        <v>10945</v>
      </c>
    </row>
    <row r="4918" spans="1:2" ht="15">
      <c r="A4918" s="77" t="s">
        <v>8609</v>
      </c>
      <c r="B4918" s="76" t="s">
        <v>10945</v>
      </c>
    </row>
    <row r="4919" spans="1:2" ht="15">
      <c r="A4919" s="77" t="s">
        <v>8610</v>
      </c>
      <c r="B4919" s="76" t="s">
        <v>10945</v>
      </c>
    </row>
    <row r="4920" spans="1:2" ht="15">
      <c r="A4920" s="77" t="s">
        <v>8611</v>
      </c>
      <c r="B4920" s="76" t="s">
        <v>10945</v>
      </c>
    </row>
    <row r="4921" spans="1:2" ht="15">
      <c r="A4921" s="77" t="s">
        <v>8612</v>
      </c>
      <c r="B4921" s="76" t="s">
        <v>10945</v>
      </c>
    </row>
    <row r="4922" spans="1:2" ht="15">
      <c r="A4922" s="77" t="s">
        <v>8613</v>
      </c>
      <c r="B4922" s="76" t="s">
        <v>10945</v>
      </c>
    </row>
    <row r="4923" spans="1:2" ht="15">
      <c r="A4923" s="77" t="s">
        <v>8614</v>
      </c>
      <c r="B4923" s="76" t="s">
        <v>10945</v>
      </c>
    </row>
    <row r="4924" spans="1:2" ht="15">
      <c r="A4924" s="77" t="s">
        <v>8615</v>
      </c>
      <c r="B4924" s="76" t="s">
        <v>10945</v>
      </c>
    </row>
    <row r="4925" spans="1:2" ht="15">
      <c r="A4925" s="77" t="s">
        <v>8616</v>
      </c>
      <c r="B4925" s="76" t="s">
        <v>10945</v>
      </c>
    </row>
    <row r="4926" spans="1:2" ht="15">
      <c r="A4926" s="77" t="s">
        <v>8617</v>
      </c>
      <c r="B4926" s="76" t="s">
        <v>10945</v>
      </c>
    </row>
    <row r="4927" spans="1:2" ht="15">
      <c r="A4927" s="77" t="s">
        <v>8618</v>
      </c>
      <c r="B4927" s="76" t="s">
        <v>10945</v>
      </c>
    </row>
    <row r="4928" spans="1:2" ht="15">
      <c r="A4928" s="77" t="s">
        <v>8619</v>
      </c>
      <c r="B4928" s="76" t="s">
        <v>10945</v>
      </c>
    </row>
    <row r="4929" spans="1:2" ht="15">
      <c r="A4929" s="77" t="s">
        <v>8620</v>
      </c>
      <c r="B4929" s="76" t="s">
        <v>10945</v>
      </c>
    </row>
    <row r="4930" spans="1:2" ht="15">
      <c r="A4930" s="77" t="s">
        <v>8621</v>
      </c>
      <c r="B4930" s="76" t="s">
        <v>10945</v>
      </c>
    </row>
    <row r="4931" spans="1:2" ht="15">
      <c r="A4931" s="77" t="s">
        <v>8622</v>
      </c>
      <c r="B4931" s="76" t="s">
        <v>10945</v>
      </c>
    </row>
    <row r="4932" spans="1:2" ht="15">
      <c r="A4932" s="77" t="s">
        <v>8623</v>
      </c>
      <c r="B4932" s="76" t="s">
        <v>10945</v>
      </c>
    </row>
    <row r="4933" spans="1:2" ht="15">
      <c r="A4933" s="77" t="s">
        <v>8624</v>
      </c>
      <c r="B4933" s="76" t="s">
        <v>10945</v>
      </c>
    </row>
    <row r="4934" spans="1:2" ht="15">
      <c r="A4934" s="77" t="s">
        <v>8625</v>
      </c>
      <c r="B4934" s="76" t="s">
        <v>10945</v>
      </c>
    </row>
    <row r="4935" spans="1:2" ht="15">
      <c r="A4935" s="77" t="s">
        <v>8626</v>
      </c>
      <c r="B4935" s="76" t="s">
        <v>10945</v>
      </c>
    </row>
    <row r="4936" spans="1:2" ht="15">
      <c r="A4936" s="77" t="s">
        <v>8627</v>
      </c>
      <c r="B4936" s="76" t="s">
        <v>10945</v>
      </c>
    </row>
    <row r="4937" spans="1:2" ht="15">
      <c r="A4937" s="77" t="s">
        <v>8628</v>
      </c>
      <c r="B4937" s="76" t="s">
        <v>10945</v>
      </c>
    </row>
    <row r="4938" spans="1:2" ht="15">
      <c r="A4938" s="77" t="s">
        <v>8629</v>
      </c>
      <c r="B4938" s="76" t="s">
        <v>10945</v>
      </c>
    </row>
    <row r="4939" spans="1:2" ht="15">
      <c r="A4939" s="77" t="s">
        <v>8630</v>
      </c>
      <c r="B4939" s="76" t="s">
        <v>10945</v>
      </c>
    </row>
    <row r="4940" spans="1:2" ht="15">
      <c r="A4940" s="77" t="s">
        <v>8631</v>
      </c>
      <c r="B4940" s="76" t="s">
        <v>10945</v>
      </c>
    </row>
    <row r="4941" spans="1:2" ht="15">
      <c r="A4941" s="77" t="s">
        <v>8632</v>
      </c>
      <c r="B4941" s="76" t="s">
        <v>10945</v>
      </c>
    </row>
    <row r="4942" spans="1:2" ht="15">
      <c r="A4942" s="77" t="s">
        <v>3432</v>
      </c>
      <c r="B4942" s="76" t="s">
        <v>10945</v>
      </c>
    </row>
    <row r="4943" spans="1:2" ht="15">
      <c r="A4943" s="77" t="s">
        <v>8633</v>
      </c>
      <c r="B4943" s="76" t="s">
        <v>10945</v>
      </c>
    </row>
    <row r="4944" spans="1:2" ht="15">
      <c r="A4944" s="77" t="s">
        <v>8634</v>
      </c>
      <c r="B4944" s="76" t="s">
        <v>10945</v>
      </c>
    </row>
    <row r="4945" spans="1:2" ht="15">
      <c r="A4945" s="77" t="s">
        <v>8635</v>
      </c>
      <c r="B4945" s="76" t="s">
        <v>10945</v>
      </c>
    </row>
    <row r="4946" spans="1:2" ht="15">
      <c r="A4946" s="77" t="s">
        <v>8636</v>
      </c>
      <c r="B4946" s="76" t="s">
        <v>10945</v>
      </c>
    </row>
    <row r="4947" spans="1:2" ht="15">
      <c r="A4947" s="77" t="s">
        <v>8637</v>
      </c>
      <c r="B4947" s="76" t="s">
        <v>10945</v>
      </c>
    </row>
    <row r="4948" spans="1:2" ht="15">
      <c r="A4948" s="77" t="s">
        <v>8638</v>
      </c>
      <c r="B4948" s="76" t="s">
        <v>10945</v>
      </c>
    </row>
    <row r="4949" spans="1:2" ht="15">
      <c r="A4949" s="77" t="s">
        <v>8639</v>
      </c>
      <c r="B4949" s="76" t="s">
        <v>10945</v>
      </c>
    </row>
    <row r="4950" spans="1:2" ht="15">
      <c r="A4950" s="77" t="s">
        <v>8640</v>
      </c>
      <c r="B4950" s="76" t="s">
        <v>10945</v>
      </c>
    </row>
    <row r="4951" spans="1:2" ht="15">
      <c r="A4951" s="77" t="s">
        <v>8641</v>
      </c>
      <c r="B4951" s="76" t="s">
        <v>10945</v>
      </c>
    </row>
    <row r="4952" spans="1:2" ht="15">
      <c r="A4952" s="77" t="s">
        <v>8642</v>
      </c>
      <c r="B4952" s="76" t="s">
        <v>10945</v>
      </c>
    </row>
    <row r="4953" spans="1:2" ht="15">
      <c r="A4953" s="77" t="s">
        <v>3046</v>
      </c>
      <c r="B4953" s="76" t="s">
        <v>10945</v>
      </c>
    </row>
    <row r="4954" spans="1:2" ht="15">
      <c r="A4954" s="77" t="s">
        <v>8643</v>
      </c>
      <c r="B4954" s="76" t="s">
        <v>10945</v>
      </c>
    </row>
    <row r="4955" spans="1:2" ht="15">
      <c r="A4955" s="77" t="s">
        <v>8644</v>
      </c>
      <c r="B4955" s="76" t="s">
        <v>10945</v>
      </c>
    </row>
    <row r="4956" spans="1:2" ht="15">
      <c r="A4956" s="77" t="s">
        <v>8645</v>
      </c>
      <c r="B4956" s="76" t="s">
        <v>10945</v>
      </c>
    </row>
    <row r="4957" spans="1:2" ht="15">
      <c r="A4957" s="77" t="s">
        <v>8646</v>
      </c>
      <c r="B4957" s="76" t="s">
        <v>10945</v>
      </c>
    </row>
    <row r="4958" spans="1:2" ht="15">
      <c r="A4958" s="77" t="s">
        <v>8647</v>
      </c>
      <c r="B4958" s="76" t="s">
        <v>10945</v>
      </c>
    </row>
    <row r="4959" spans="1:2" ht="15">
      <c r="A4959" s="77" t="s">
        <v>8648</v>
      </c>
      <c r="B4959" s="76" t="s">
        <v>10945</v>
      </c>
    </row>
    <row r="4960" spans="1:2" ht="15">
      <c r="A4960" s="77" t="s">
        <v>8649</v>
      </c>
      <c r="B4960" s="76" t="s">
        <v>10945</v>
      </c>
    </row>
    <row r="4961" spans="1:2" ht="15">
      <c r="A4961" s="77" t="s">
        <v>2917</v>
      </c>
      <c r="B4961" s="76" t="s">
        <v>10945</v>
      </c>
    </row>
    <row r="4962" spans="1:2" ht="15">
      <c r="A4962" s="77" t="s">
        <v>8650</v>
      </c>
      <c r="B4962" s="76" t="s">
        <v>10945</v>
      </c>
    </row>
    <row r="4963" spans="1:2" ht="15">
      <c r="A4963" s="77" t="s">
        <v>8651</v>
      </c>
      <c r="B4963" s="76" t="s">
        <v>10945</v>
      </c>
    </row>
    <row r="4964" spans="1:2" ht="15">
      <c r="A4964" s="77" t="s">
        <v>8652</v>
      </c>
      <c r="B4964" s="76" t="s">
        <v>10945</v>
      </c>
    </row>
    <row r="4965" spans="1:2" ht="15">
      <c r="A4965" s="77" t="s">
        <v>8653</v>
      </c>
      <c r="B4965" s="76" t="s">
        <v>10945</v>
      </c>
    </row>
    <row r="4966" spans="1:2" ht="15">
      <c r="A4966" s="77" t="s">
        <v>8654</v>
      </c>
      <c r="B4966" s="76" t="s">
        <v>10945</v>
      </c>
    </row>
    <row r="4967" spans="1:2" ht="15">
      <c r="A4967" s="77" t="s">
        <v>8655</v>
      </c>
      <c r="B4967" s="76" t="s">
        <v>10945</v>
      </c>
    </row>
    <row r="4968" spans="1:2" ht="15">
      <c r="A4968" s="77" t="s">
        <v>8656</v>
      </c>
      <c r="B4968" s="76" t="s">
        <v>10945</v>
      </c>
    </row>
    <row r="4969" spans="1:2" ht="15">
      <c r="A4969" s="77" t="s">
        <v>8657</v>
      </c>
      <c r="B4969" s="76" t="s">
        <v>10945</v>
      </c>
    </row>
    <row r="4970" spans="1:2" ht="15">
      <c r="A4970" s="77" t="s">
        <v>8658</v>
      </c>
      <c r="B4970" s="76" t="s">
        <v>10945</v>
      </c>
    </row>
    <row r="4971" spans="1:2" ht="15">
      <c r="A4971" s="77" t="s">
        <v>8659</v>
      </c>
      <c r="B4971" s="76" t="s">
        <v>10945</v>
      </c>
    </row>
    <row r="4972" spans="1:2" ht="15">
      <c r="A4972" s="77" t="s">
        <v>8660</v>
      </c>
      <c r="B4972" s="76" t="s">
        <v>10945</v>
      </c>
    </row>
    <row r="4973" spans="1:2" ht="15">
      <c r="A4973" s="77" t="s">
        <v>8661</v>
      </c>
      <c r="B4973" s="76" t="s">
        <v>10945</v>
      </c>
    </row>
    <row r="4974" spans="1:2" ht="15">
      <c r="A4974" s="77" t="s">
        <v>8662</v>
      </c>
      <c r="B4974" s="76" t="s">
        <v>10945</v>
      </c>
    </row>
    <row r="4975" spans="1:2" ht="15">
      <c r="A4975" s="77" t="s">
        <v>8663</v>
      </c>
      <c r="B4975" s="76" t="s">
        <v>10945</v>
      </c>
    </row>
    <row r="4976" spans="1:2" ht="15">
      <c r="A4976" s="77" t="s">
        <v>8664</v>
      </c>
      <c r="B4976" s="76" t="s">
        <v>10945</v>
      </c>
    </row>
    <row r="4977" spans="1:2" ht="15">
      <c r="A4977" s="77" t="s">
        <v>8665</v>
      </c>
      <c r="B4977" s="76" t="s">
        <v>10945</v>
      </c>
    </row>
    <row r="4978" spans="1:2" ht="15">
      <c r="A4978" s="77" t="s">
        <v>8666</v>
      </c>
      <c r="B4978" s="76" t="s">
        <v>10945</v>
      </c>
    </row>
    <row r="4979" spans="1:2" ht="15">
      <c r="A4979" s="77" t="s">
        <v>3514</v>
      </c>
      <c r="B4979" s="76" t="s">
        <v>10945</v>
      </c>
    </row>
    <row r="4980" spans="1:2" ht="15">
      <c r="A4980" s="77" t="s">
        <v>8667</v>
      </c>
      <c r="B4980" s="76" t="s">
        <v>10945</v>
      </c>
    </row>
    <row r="4981" spans="1:2" ht="15">
      <c r="A4981" s="77" t="s">
        <v>8668</v>
      </c>
      <c r="B4981" s="76" t="s">
        <v>10945</v>
      </c>
    </row>
    <row r="4982" spans="1:2" ht="15">
      <c r="A4982" s="77" t="s">
        <v>8669</v>
      </c>
      <c r="B4982" s="76" t="s">
        <v>10945</v>
      </c>
    </row>
    <row r="4983" spans="1:2" ht="15">
      <c r="A4983" s="77" t="s">
        <v>8670</v>
      </c>
      <c r="B4983" s="76" t="s">
        <v>10945</v>
      </c>
    </row>
    <row r="4984" spans="1:2" ht="15">
      <c r="A4984" s="77" t="s">
        <v>8671</v>
      </c>
      <c r="B4984" s="76" t="s">
        <v>10945</v>
      </c>
    </row>
    <row r="4985" spans="1:2" ht="15">
      <c r="A4985" s="77" t="s">
        <v>8672</v>
      </c>
      <c r="B4985" s="76" t="s">
        <v>10945</v>
      </c>
    </row>
    <row r="4986" spans="1:2" ht="15">
      <c r="A4986" s="77" t="s">
        <v>8673</v>
      </c>
      <c r="B4986" s="76" t="s">
        <v>10945</v>
      </c>
    </row>
    <row r="4987" spans="1:2" ht="15">
      <c r="A4987" s="77" t="s">
        <v>8674</v>
      </c>
      <c r="B4987" s="76" t="s">
        <v>10945</v>
      </c>
    </row>
    <row r="4988" spans="1:2" ht="15">
      <c r="A4988" s="77" t="s">
        <v>8675</v>
      </c>
      <c r="B4988" s="76" t="s">
        <v>10945</v>
      </c>
    </row>
    <row r="4989" spans="1:2" ht="15">
      <c r="A4989" s="77" t="s">
        <v>8676</v>
      </c>
      <c r="B4989" s="76" t="s">
        <v>10945</v>
      </c>
    </row>
    <row r="4990" spans="1:2" ht="15">
      <c r="A4990" s="77" t="s">
        <v>8677</v>
      </c>
      <c r="B4990" s="76" t="s">
        <v>10945</v>
      </c>
    </row>
    <row r="4991" spans="1:2" ht="15">
      <c r="A4991" s="77" t="s">
        <v>8678</v>
      </c>
      <c r="B4991" s="76" t="s">
        <v>10945</v>
      </c>
    </row>
    <row r="4992" spans="1:2" ht="15">
      <c r="A4992" s="77" t="s">
        <v>8679</v>
      </c>
      <c r="B4992" s="76" t="s">
        <v>10945</v>
      </c>
    </row>
    <row r="4993" spans="1:2" ht="15">
      <c r="A4993" s="77" t="s">
        <v>8680</v>
      </c>
      <c r="B4993" s="76" t="s">
        <v>10945</v>
      </c>
    </row>
    <row r="4994" spans="1:2" ht="15">
      <c r="A4994" s="77" t="s">
        <v>8681</v>
      </c>
      <c r="B4994" s="76" t="s">
        <v>10945</v>
      </c>
    </row>
    <row r="4995" spans="1:2" ht="15">
      <c r="A4995" s="77" t="s">
        <v>8682</v>
      </c>
      <c r="B4995" s="76" t="s">
        <v>10945</v>
      </c>
    </row>
    <row r="4996" spans="1:2" ht="15">
      <c r="A4996" s="77" t="s">
        <v>8683</v>
      </c>
      <c r="B4996" s="76" t="s">
        <v>10945</v>
      </c>
    </row>
    <row r="4997" spans="1:2" ht="15">
      <c r="A4997" s="77" t="s">
        <v>8684</v>
      </c>
      <c r="B4997" s="76" t="s">
        <v>10945</v>
      </c>
    </row>
    <row r="4998" spans="1:2" ht="15">
      <c r="A4998" s="77" t="s">
        <v>8685</v>
      </c>
      <c r="B4998" s="76" t="s">
        <v>10945</v>
      </c>
    </row>
    <row r="4999" spans="1:2" ht="15">
      <c r="A4999" s="77" t="s">
        <v>8686</v>
      </c>
      <c r="B4999" s="76" t="s">
        <v>10945</v>
      </c>
    </row>
    <row r="5000" spans="1:2" ht="15">
      <c r="A5000" s="77" t="s">
        <v>8687</v>
      </c>
      <c r="B5000" s="76" t="s">
        <v>10945</v>
      </c>
    </row>
    <row r="5001" spans="1:2" ht="15">
      <c r="A5001" s="77" t="s">
        <v>8688</v>
      </c>
      <c r="B5001" s="76" t="s">
        <v>10945</v>
      </c>
    </row>
    <row r="5002" spans="1:2" ht="15">
      <c r="A5002" s="77" t="s">
        <v>8689</v>
      </c>
      <c r="B5002" s="76" t="s">
        <v>10945</v>
      </c>
    </row>
    <row r="5003" spans="1:2" ht="15">
      <c r="A5003" s="77" t="s">
        <v>8690</v>
      </c>
      <c r="B5003" s="76" t="s">
        <v>10945</v>
      </c>
    </row>
    <row r="5004" spans="1:2" ht="15">
      <c r="A5004" s="77" t="s">
        <v>8691</v>
      </c>
      <c r="B5004" s="76" t="s">
        <v>10945</v>
      </c>
    </row>
    <row r="5005" spans="1:2" ht="15">
      <c r="A5005" s="77" t="s">
        <v>8692</v>
      </c>
      <c r="B5005" s="76" t="s">
        <v>10945</v>
      </c>
    </row>
    <row r="5006" spans="1:2" ht="15">
      <c r="A5006" s="77" t="s">
        <v>8693</v>
      </c>
      <c r="B5006" s="76" t="s">
        <v>10945</v>
      </c>
    </row>
    <row r="5007" spans="1:2" ht="15">
      <c r="A5007" s="77" t="s">
        <v>8694</v>
      </c>
      <c r="B5007" s="76" t="s">
        <v>10945</v>
      </c>
    </row>
    <row r="5008" spans="1:2" ht="15">
      <c r="A5008" s="77" t="s">
        <v>8695</v>
      </c>
      <c r="B5008" s="76" t="s">
        <v>10945</v>
      </c>
    </row>
    <row r="5009" spans="1:2" ht="15">
      <c r="A5009" s="77" t="s">
        <v>8696</v>
      </c>
      <c r="B5009" s="76" t="s">
        <v>10945</v>
      </c>
    </row>
    <row r="5010" spans="1:2" ht="15">
      <c r="A5010" s="77" t="s">
        <v>8697</v>
      </c>
      <c r="B5010" s="76" t="s">
        <v>10945</v>
      </c>
    </row>
    <row r="5011" spans="1:2" ht="15">
      <c r="A5011" s="77" t="s">
        <v>8698</v>
      </c>
      <c r="B5011" s="76" t="s">
        <v>10945</v>
      </c>
    </row>
    <row r="5012" spans="1:2" ht="15">
      <c r="A5012" s="77" t="s">
        <v>8699</v>
      </c>
      <c r="B5012" s="76" t="s">
        <v>10945</v>
      </c>
    </row>
    <row r="5013" spans="1:2" ht="15">
      <c r="A5013" s="77" t="s">
        <v>8700</v>
      </c>
      <c r="B5013" s="76" t="s">
        <v>10945</v>
      </c>
    </row>
    <row r="5014" spans="1:2" ht="15">
      <c r="A5014" s="77" t="s">
        <v>8701</v>
      </c>
      <c r="B5014" s="76" t="s">
        <v>10945</v>
      </c>
    </row>
    <row r="5015" spans="1:2" ht="15">
      <c r="A5015" s="77" t="s">
        <v>8702</v>
      </c>
      <c r="B5015" s="76" t="s">
        <v>10945</v>
      </c>
    </row>
    <row r="5016" spans="1:2" ht="15">
      <c r="A5016" s="77" t="s">
        <v>8703</v>
      </c>
      <c r="B5016" s="76" t="s">
        <v>10945</v>
      </c>
    </row>
    <row r="5017" spans="1:2" ht="15">
      <c r="A5017" s="77" t="s">
        <v>8704</v>
      </c>
      <c r="B5017" s="76" t="s">
        <v>10945</v>
      </c>
    </row>
    <row r="5018" spans="1:2" ht="15">
      <c r="A5018" s="77" t="s">
        <v>8705</v>
      </c>
      <c r="B5018" s="76" t="s">
        <v>10945</v>
      </c>
    </row>
    <row r="5019" spans="1:2" ht="15">
      <c r="A5019" s="77" t="s">
        <v>8706</v>
      </c>
      <c r="B5019" s="76" t="s">
        <v>10945</v>
      </c>
    </row>
    <row r="5020" spans="1:2" ht="15">
      <c r="A5020" s="77" t="s">
        <v>8707</v>
      </c>
      <c r="B5020" s="76" t="s">
        <v>10945</v>
      </c>
    </row>
    <row r="5021" spans="1:2" ht="15">
      <c r="A5021" s="77" t="s">
        <v>8708</v>
      </c>
      <c r="B5021" s="76" t="s">
        <v>10945</v>
      </c>
    </row>
    <row r="5022" spans="1:2" ht="15">
      <c r="A5022" s="77" t="s">
        <v>2868</v>
      </c>
      <c r="B5022" s="76" t="s">
        <v>10945</v>
      </c>
    </row>
    <row r="5023" spans="1:2" ht="15">
      <c r="A5023" s="77" t="s">
        <v>8709</v>
      </c>
      <c r="B5023" s="76" t="s">
        <v>10945</v>
      </c>
    </row>
    <row r="5024" spans="1:2" ht="15">
      <c r="A5024" s="77" t="s">
        <v>8710</v>
      </c>
      <c r="B5024" s="76" t="s">
        <v>10945</v>
      </c>
    </row>
    <row r="5025" spans="1:2" ht="15">
      <c r="A5025" s="77" t="s">
        <v>8711</v>
      </c>
      <c r="B5025" s="76" t="s">
        <v>10945</v>
      </c>
    </row>
    <row r="5026" spans="1:2" ht="15">
      <c r="A5026" s="77" t="s">
        <v>8712</v>
      </c>
      <c r="B5026" s="76" t="s">
        <v>10945</v>
      </c>
    </row>
    <row r="5027" spans="1:2" ht="15">
      <c r="A5027" s="77" t="s">
        <v>3797</v>
      </c>
      <c r="B5027" s="76" t="s">
        <v>10945</v>
      </c>
    </row>
    <row r="5028" spans="1:2" ht="15">
      <c r="A5028" s="77" t="s">
        <v>8713</v>
      </c>
      <c r="B5028" s="76" t="s">
        <v>10945</v>
      </c>
    </row>
    <row r="5029" spans="1:2" ht="15">
      <c r="A5029" s="77" t="s">
        <v>8714</v>
      </c>
      <c r="B5029" s="76" t="s">
        <v>10945</v>
      </c>
    </row>
    <row r="5030" spans="1:2" ht="15">
      <c r="A5030" s="77" t="s">
        <v>8715</v>
      </c>
      <c r="B5030" s="76" t="s">
        <v>10945</v>
      </c>
    </row>
    <row r="5031" spans="1:2" ht="15">
      <c r="A5031" s="77" t="s">
        <v>8716</v>
      </c>
      <c r="B5031" s="76" t="s">
        <v>10945</v>
      </c>
    </row>
    <row r="5032" spans="1:2" ht="15">
      <c r="A5032" s="77" t="s">
        <v>8717</v>
      </c>
      <c r="B5032" s="76" t="s">
        <v>10945</v>
      </c>
    </row>
    <row r="5033" spans="1:2" ht="15">
      <c r="A5033" s="77" t="s">
        <v>8718</v>
      </c>
      <c r="B5033" s="76" t="s">
        <v>10945</v>
      </c>
    </row>
    <row r="5034" spans="1:2" ht="15">
      <c r="A5034" s="77" t="s">
        <v>8719</v>
      </c>
      <c r="B5034" s="76" t="s">
        <v>10945</v>
      </c>
    </row>
    <row r="5035" spans="1:2" ht="15">
      <c r="A5035" s="77" t="s">
        <v>8720</v>
      </c>
      <c r="B5035" s="76" t="s">
        <v>10945</v>
      </c>
    </row>
    <row r="5036" spans="1:2" ht="15">
      <c r="A5036" s="77" t="s">
        <v>8721</v>
      </c>
      <c r="B5036" s="76" t="s">
        <v>10945</v>
      </c>
    </row>
    <row r="5037" spans="1:2" ht="15">
      <c r="A5037" s="77" t="s">
        <v>8722</v>
      </c>
      <c r="B5037" s="76" t="s">
        <v>10945</v>
      </c>
    </row>
    <row r="5038" spans="1:2" ht="15">
      <c r="A5038" s="77" t="s">
        <v>8723</v>
      </c>
      <c r="B5038" s="76" t="s">
        <v>10945</v>
      </c>
    </row>
    <row r="5039" spans="1:2" ht="15">
      <c r="A5039" s="77" t="s">
        <v>8724</v>
      </c>
      <c r="B5039" s="76" t="s">
        <v>10945</v>
      </c>
    </row>
    <row r="5040" spans="1:2" ht="15">
      <c r="A5040" s="77" t="s">
        <v>8725</v>
      </c>
      <c r="B5040" s="76" t="s">
        <v>10945</v>
      </c>
    </row>
    <row r="5041" spans="1:2" ht="15">
      <c r="A5041" s="77" t="s">
        <v>8726</v>
      </c>
      <c r="B5041" s="76" t="s">
        <v>10945</v>
      </c>
    </row>
    <row r="5042" spans="1:2" ht="15">
      <c r="A5042" s="77" t="s">
        <v>8727</v>
      </c>
      <c r="B5042" s="76" t="s">
        <v>10945</v>
      </c>
    </row>
    <row r="5043" spans="1:2" ht="15">
      <c r="A5043" s="77" t="s">
        <v>8728</v>
      </c>
      <c r="B5043" s="76" t="s">
        <v>10945</v>
      </c>
    </row>
    <row r="5044" spans="1:2" ht="15">
      <c r="A5044" s="77" t="s">
        <v>8729</v>
      </c>
      <c r="B5044" s="76" t="s">
        <v>10945</v>
      </c>
    </row>
    <row r="5045" spans="1:2" ht="15">
      <c r="A5045" s="77" t="s">
        <v>8730</v>
      </c>
      <c r="B5045" s="76" t="s">
        <v>10945</v>
      </c>
    </row>
    <row r="5046" spans="1:2" ht="15">
      <c r="A5046" s="77" t="s">
        <v>8731</v>
      </c>
      <c r="B5046" s="76" t="s">
        <v>10945</v>
      </c>
    </row>
    <row r="5047" spans="1:2" ht="15">
      <c r="A5047" s="77" t="s">
        <v>8732</v>
      </c>
      <c r="B5047" s="76" t="s">
        <v>10945</v>
      </c>
    </row>
    <row r="5048" spans="1:2" ht="15">
      <c r="A5048" s="77" t="s">
        <v>8733</v>
      </c>
      <c r="B5048" s="76" t="s">
        <v>10945</v>
      </c>
    </row>
    <row r="5049" spans="1:2" ht="15">
      <c r="A5049" s="77" t="s">
        <v>8734</v>
      </c>
      <c r="B5049" s="76" t="s">
        <v>10945</v>
      </c>
    </row>
    <row r="5050" spans="1:2" ht="15">
      <c r="A5050" s="77" t="s">
        <v>8735</v>
      </c>
      <c r="B5050" s="76" t="s">
        <v>10945</v>
      </c>
    </row>
    <row r="5051" spans="1:2" ht="15">
      <c r="A5051" s="77" t="s">
        <v>8736</v>
      </c>
      <c r="B5051" s="76" t="s">
        <v>10945</v>
      </c>
    </row>
    <row r="5052" spans="1:2" ht="15">
      <c r="A5052" s="77" t="s">
        <v>8737</v>
      </c>
      <c r="B5052" s="76" t="s">
        <v>10945</v>
      </c>
    </row>
    <row r="5053" spans="1:2" ht="15">
      <c r="A5053" s="77" t="s">
        <v>8738</v>
      </c>
      <c r="B5053" s="76" t="s">
        <v>10945</v>
      </c>
    </row>
    <row r="5054" spans="1:2" ht="15">
      <c r="A5054" s="77" t="s">
        <v>8739</v>
      </c>
      <c r="B5054" s="76" t="s">
        <v>10945</v>
      </c>
    </row>
    <row r="5055" spans="1:2" ht="15">
      <c r="A5055" s="77" t="s">
        <v>8740</v>
      </c>
      <c r="B5055" s="76" t="s">
        <v>10945</v>
      </c>
    </row>
    <row r="5056" spans="1:2" ht="15">
      <c r="A5056" s="77" t="s">
        <v>8741</v>
      </c>
      <c r="B5056" s="76" t="s">
        <v>10945</v>
      </c>
    </row>
    <row r="5057" spans="1:2" ht="15">
      <c r="A5057" s="77" t="s">
        <v>8742</v>
      </c>
      <c r="B5057" s="76" t="s">
        <v>10945</v>
      </c>
    </row>
    <row r="5058" spans="1:2" ht="15">
      <c r="A5058" s="77" t="s">
        <v>8743</v>
      </c>
      <c r="B5058" s="76" t="s">
        <v>10945</v>
      </c>
    </row>
    <row r="5059" spans="1:2" ht="15">
      <c r="A5059" s="77" t="s">
        <v>8744</v>
      </c>
      <c r="B5059" s="76" t="s">
        <v>10945</v>
      </c>
    </row>
    <row r="5060" spans="1:2" ht="15">
      <c r="A5060" s="77" t="s">
        <v>8745</v>
      </c>
      <c r="B5060" s="76" t="s">
        <v>10945</v>
      </c>
    </row>
    <row r="5061" spans="1:2" ht="15">
      <c r="A5061" s="77" t="s">
        <v>8746</v>
      </c>
      <c r="B5061" s="76" t="s">
        <v>10945</v>
      </c>
    </row>
    <row r="5062" spans="1:2" ht="15">
      <c r="A5062" s="77" t="s">
        <v>8747</v>
      </c>
      <c r="B5062" s="76" t="s">
        <v>10945</v>
      </c>
    </row>
    <row r="5063" spans="1:2" ht="15">
      <c r="A5063" s="77" t="s">
        <v>8748</v>
      </c>
      <c r="B5063" s="76" t="s">
        <v>10945</v>
      </c>
    </row>
    <row r="5064" spans="1:2" ht="15">
      <c r="A5064" s="77" t="s">
        <v>8749</v>
      </c>
      <c r="B5064" s="76" t="s">
        <v>10945</v>
      </c>
    </row>
    <row r="5065" spans="1:2" ht="15">
      <c r="A5065" s="77" t="s">
        <v>8750</v>
      </c>
      <c r="B5065" s="76" t="s">
        <v>10945</v>
      </c>
    </row>
    <row r="5066" spans="1:2" ht="15">
      <c r="A5066" s="77" t="s">
        <v>8751</v>
      </c>
      <c r="B5066" s="76" t="s">
        <v>10945</v>
      </c>
    </row>
    <row r="5067" spans="1:2" ht="15">
      <c r="A5067" s="77" t="s">
        <v>8752</v>
      </c>
      <c r="B5067" s="76" t="s">
        <v>10945</v>
      </c>
    </row>
    <row r="5068" spans="1:2" ht="15">
      <c r="A5068" s="77" t="s">
        <v>8753</v>
      </c>
      <c r="B5068" s="76" t="s">
        <v>10945</v>
      </c>
    </row>
    <row r="5069" spans="1:2" ht="15">
      <c r="A5069" s="77" t="s">
        <v>8754</v>
      </c>
      <c r="B5069" s="76" t="s">
        <v>10945</v>
      </c>
    </row>
    <row r="5070" spans="1:2" ht="15">
      <c r="A5070" s="77" t="s">
        <v>8755</v>
      </c>
      <c r="B5070" s="76" t="s">
        <v>10945</v>
      </c>
    </row>
    <row r="5071" spans="1:2" ht="15">
      <c r="A5071" s="77" t="s">
        <v>8756</v>
      </c>
      <c r="B5071" s="76" t="s">
        <v>10945</v>
      </c>
    </row>
    <row r="5072" spans="1:2" ht="15">
      <c r="A5072" s="77" t="s">
        <v>8757</v>
      </c>
      <c r="B5072" s="76" t="s">
        <v>10945</v>
      </c>
    </row>
    <row r="5073" spans="1:2" ht="15">
      <c r="A5073" s="77" t="s">
        <v>8758</v>
      </c>
      <c r="B5073" s="76" t="s">
        <v>10945</v>
      </c>
    </row>
    <row r="5074" spans="1:2" ht="15">
      <c r="A5074" s="77" t="s">
        <v>8759</v>
      </c>
      <c r="B5074" s="76" t="s">
        <v>10945</v>
      </c>
    </row>
    <row r="5075" spans="1:2" ht="15">
      <c r="A5075" s="77" t="s">
        <v>8760</v>
      </c>
      <c r="B5075" s="76" t="s">
        <v>10945</v>
      </c>
    </row>
    <row r="5076" spans="1:2" ht="15">
      <c r="A5076" s="77" t="s">
        <v>8761</v>
      </c>
      <c r="B5076" s="76" t="s">
        <v>10945</v>
      </c>
    </row>
    <row r="5077" spans="1:2" ht="15">
      <c r="A5077" s="77" t="s">
        <v>8762</v>
      </c>
      <c r="B5077" s="76" t="s">
        <v>10945</v>
      </c>
    </row>
    <row r="5078" spans="1:2" ht="15">
      <c r="A5078" s="77" t="s">
        <v>8763</v>
      </c>
      <c r="B5078" s="76" t="s">
        <v>10945</v>
      </c>
    </row>
    <row r="5079" spans="1:2" ht="15">
      <c r="A5079" s="77" t="s">
        <v>8764</v>
      </c>
      <c r="B5079" s="76" t="s">
        <v>10945</v>
      </c>
    </row>
    <row r="5080" spans="1:2" ht="15">
      <c r="A5080" s="77" t="s">
        <v>8765</v>
      </c>
      <c r="B5080" s="76" t="s">
        <v>10945</v>
      </c>
    </row>
    <row r="5081" spans="1:2" ht="15">
      <c r="A5081" s="77" t="s">
        <v>8766</v>
      </c>
      <c r="B5081" s="76" t="s">
        <v>10945</v>
      </c>
    </row>
    <row r="5082" spans="1:2" ht="15">
      <c r="A5082" s="77" t="s">
        <v>8767</v>
      </c>
      <c r="B5082" s="76" t="s">
        <v>10945</v>
      </c>
    </row>
    <row r="5083" spans="1:2" ht="15">
      <c r="A5083" s="77" t="s">
        <v>8768</v>
      </c>
      <c r="B5083" s="76" t="s">
        <v>10945</v>
      </c>
    </row>
    <row r="5084" spans="1:2" ht="15">
      <c r="A5084" s="77" t="s">
        <v>8769</v>
      </c>
      <c r="B5084" s="76" t="s">
        <v>10945</v>
      </c>
    </row>
    <row r="5085" spans="1:2" ht="15">
      <c r="A5085" s="77" t="s">
        <v>8770</v>
      </c>
      <c r="B5085" s="76" t="s">
        <v>10945</v>
      </c>
    </row>
    <row r="5086" spans="1:2" ht="15">
      <c r="A5086" s="77" t="s">
        <v>8771</v>
      </c>
      <c r="B5086" s="76" t="s">
        <v>10945</v>
      </c>
    </row>
    <row r="5087" spans="1:2" ht="15">
      <c r="A5087" s="77" t="s">
        <v>8772</v>
      </c>
      <c r="B5087" s="76" t="s">
        <v>10945</v>
      </c>
    </row>
    <row r="5088" spans="1:2" ht="15">
      <c r="A5088" s="77" t="s">
        <v>8773</v>
      </c>
      <c r="B5088" s="76" t="s">
        <v>10945</v>
      </c>
    </row>
    <row r="5089" spans="1:2" ht="15">
      <c r="A5089" s="77" t="s">
        <v>8774</v>
      </c>
      <c r="B5089" s="76" t="s">
        <v>10945</v>
      </c>
    </row>
    <row r="5090" spans="1:2" ht="15">
      <c r="A5090" s="77" t="s">
        <v>8775</v>
      </c>
      <c r="B5090" s="76" t="s">
        <v>10945</v>
      </c>
    </row>
    <row r="5091" spans="1:2" ht="15">
      <c r="A5091" s="77" t="s">
        <v>8776</v>
      </c>
      <c r="B5091" s="76" t="s">
        <v>10945</v>
      </c>
    </row>
    <row r="5092" spans="1:2" ht="15">
      <c r="A5092" s="77" t="s">
        <v>8777</v>
      </c>
      <c r="B5092" s="76" t="s">
        <v>10945</v>
      </c>
    </row>
    <row r="5093" spans="1:2" ht="15">
      <c r="A5093" s="77" t="s">
        <v>8778</v>
      </c>
      <c r="B5093" s="76" t="s">
        <v>10945</v>
      </c>
    </row>
    <row r="5094" spans="1:2" ht="15">
      <c r="A5094" s="77" t="s">
        <v>8779</v>
      </c>
      <c r="B5094" s="76" t="s">
        <v>10945</v>
      </c>
    </row>
    <row r="5095" spans="1:2" ht="15">
      <c r="A5095" s="77" t="s">
        <v>8780</v>
      </c>
      <c r="B5095" s="76" t="s">
        <v>10945</v>
      </c>
    </row>
    <row r="5096" spans="1:2" ht="15">
      <c r="A5096" s="77" t="s">
        <v>8781</v>
      </c>
      <c r="B5096" s="76" t="s">
        <v>10945</v>
      </c>
    </row>
    <row r="5097" spans="1:2" ht="15">
      <c r="A5097" s="77" t="s">
        <v>8782</v>
      </c>
      <c r="B5097" s="76" t="s">
        <v>10945</v>
      </c>
    </row>
    <row r="5098" spans="1:2" ht="15">
      <c r="A5098" s="77" t="s">
        <v>8783</v>
      </c>
      <c r="B5098" s="76" t="s">
        <v>10945</v>
      </c>
    </row>
    <row r="5099" spans="1:2" ht="15">
      <c r="A5099" s="77" t="s">
        <v>8784</v>
      </c>
      <c r="B5099" s="76" t="s">
        <v>10945</v>
      </c>
    </row>
    <row r="5100" spans="1:2" ht="15">
      <c r="A5100" s="77" t="s">
        <v>8785</v>
      </c>
      <c r="B5100" s="76" t="s">
        <v>10945</v>
      </c>
    </row>
    <row r="5101" spans="1:2" ht="15">
      <c r="A5101" s="77" t="s">
        <v>8786</v>
      </c>
      <c r="B5101" s="76" t="s">
        <v>10945</v>
      </c>
    </row>
    <row r="5102" spans="1:2" ht="15">
      <c r="A5102" s="77" t="s">
        <v>8787</v>
      </c>
      <c r="B5102" s="76" t="s">
        <v>10945</v>
      </c>
    </row>
    <row r="5103" spans="1:2" ht="15">
      <c r="A5103" s="77" t="s">
        <v>8788</v>
      </c>
      <c r="B5103" s="76" t="s">
        <v>10945</v>
      </c>
    </row>
    <row r="5104" spans="1:2" ht="15">
      <c r="A5104" s="77" t="s">
        <v>8789</v>
      </c>
      <c r="B5104" s="76" t="s">
        <v>10945</v>
      </c>
    </row>
    <row r="5105" spans="1:2" ht="15">
      <c r="A5105" s="77" t="s">
        <v>8790</v>
      </c>
      <c r="B5105" s="76" t="s">
        <v>10945</v>
      </c>
    </row>
    <row r="5106" spans="1:2" ht="15">
      <c r="A5106" s="77" t="s">
        <v>8791</v>
      </c>
      <c r="B5106" s="76" t="s">
        <v>10945</v>
      </c>
    </row>
    <row r="5107" spans="1:2" ht="15">
      <c r="A5107" s="77" t="s">
        <v>8792</v>
      </c>
      <c r="B5107" s="76" t="s">
        <v>10945</v>
      </c>
    </row>
    <row r="5108" spans="1:2" ht="15">
      <c r="A5108" s="77" t="s">
        <v>8793</v>
      </c>
      <c r="B5108" s="76" t="s">
        <v>10945</v>
      </c>
    </row>
    <row r="5109" spans="1:2" ht="15">
      <c r="A5109" s="77" t="s">
        <v>8794</v>
      </c>
      <c r="B5109" s="76" t="s">
        <v>10945</v>
      </c>
    </row>
    <row r="5110" spans="1:2" ht="15">
      <c r="A5110" s="77" t="s">
        <v>8795</v>
      </c>
      <c r="B5110" s="76" t="s">
        <v>10945</v>
      </c>
    </row>
    <row r="5111" spans="1:2" ht="15">
      <c r="A5111" s="77" t="s">
        <v>8796</v>
      </c>
      <c r="B5111" s="76" t="s">
        <v>10945</v>
      </c>
    </row>
    <row r="5112" spans="1:2" ht="15">
      <c r="A5112" s="77" t="s">
        <v>8797</v>
      </c>
      <c r="B5112" s="76" t="s">
        <v>10945</v>
      </c>
    </row>
    <row r="5113" spans="1:2" ht="15">
      <c r="A5113" s="77" t="s">
        <v>8798</v>
      </c>
      <c r="B5113" s="76" t="s">
        <v>10945</v>
      </c>
    </row>
    <row r="5114" spans="1:2" ht="15">
      <c r="A5114" s="77" t="s">
        <v>3001</v>
      </c>
      <c r="B5114" s="76" t="s">
        <v>10945</v>
      </c>
    </row>
    <row r="5115" spans="1:2" ht="15">
      <c r="A5115" s="77" t="s">
        <v>2482</v>
      </c>
      <c r="B5115" s="76" t="s">
        <v>10945</v>
      </c>
    </row>
    <row r="5116" spans="1:2" ht="15">
      <c r="A5116" s="77" t="s">
        <v>3770</v>
      </c>
      <c r="B5116" s="76" t="s">
        <v>10945</v>
      </c>
    </row>
    <row r="5117" spans="1:2" ht="15">
      <c r="A5117" s="77" t="s">
        <v>8799</v>
      </c>
      <c r="B5117" s="76" t="s">
        <v>10945</v>
      </c>
    </row>
    <row r="5118" spans="1:2" ht="15">
      <c r="A5118" s="77" t="s">
        <v>8800</v>
      </c>
      <c r="B5118" s="76" t="s">
        <v>10945</v>
      </c>
    </row>
    <row r="5119" spans="1:2" ht="15">
      <c r="A5119" s="77" t="s">
        <v>8801</v>
      </c>
      <c r="B5119" s="76" t="s">
        <v>10945</v>
      </c>
    </row>
    <row r="5120" spans="1:2" ht="15">
      <c r="A5120" s="77" t="s">
        <v>8802</v>
      </c>
      <c r="B5120" s="76" t="s">
        <v>10945</v>
      </c>
    </row>
    <row r="5121" spans="1:2" ht="15">
      <c r="A5121" s="77" t="s">
        <v>8803</v>
      </c>
      <c r="B5121" s="76" t="s">
        <v>10945</v>
      </c>
    </row>
    <row r="5122" spans="1:2" ht="15">
      <c r="A5122" s="77" t="s">
        <v>8804</v>
      </c>
      <c r="B5122" s="76" t="s">
        <v>10945</v>
      </c>
    </row>
    <row r="5123" spans="1:2" ht="15">
      <c r="A5123" s="77" t="s">
        <v>8805</v>
      </c>
      <c r="B5123" s="76" t="s">
        <v>10945</v>
      </c>
    </row>
    <row r="5124" spans="1:2" ht="15">
      <c r="A5124" s="77" t="s">
        <v>8806</v>
      </c>
      <c r="B5124" s="76" t="s">
        <v>10945</v>
      </c>
    </row>
    <row r="5125" spans="1:2" ht="15">
      <c r="A5125" s="77" t="s">
        <v>8807</v>
      </c>
      <c r="B5125" s="76" t="s">
        <v>10945</v>
      </c>
    </row>
    <row r="5126" spans="1:2" ht="15">
      <c r="A5126" s="77" t="s">
        <v>8808</v>
      </c>
      <c r="B5126" s="76" t="s">
        <v>10945</v>
      </c>
    </row>
    <row r="5127" spans="1:2" ht="15">
      <c r="A5127" s="77" t="s">
        <v>8809</v>
      </c>
      <c r="B5127" s="76" t="s">
        <v>10945</v>
      </c>
    </row>
    <row r="5128" spans="1:2" ht="15">
      <c r="A5128" s="77" t="s">
        <v>8810</v>
      </c>
      <c r="B5128" s="76" t="s">
        <v>10945</v>
      </c>
    </row>
    <row r="5129" spans="1:2" ht="15">
      <c r="A5129" s="77" t="s">
        <v>8811</v>
      </c>
      <c r="B5129" s="76" t="s">
        <v>10945</v>
      </c>
    </row>
    <row r="5130" spans="1:2" ht="15">
      <c r="A5130" s="77" t="s">
        <v>8812</v>
      </c>
      <c r="B5130" s="76" t="s">
        <v>10945</v>
      </c>
    </row>
    <row r="5131" spans="1:2" ht="15">
      <c r="A5131" s="77" t="s">
        <v>8813</v>
      </c>
      <c r="B5131" s="76" t="s">
        <v>10945</v>
      </c>
    </row>
    <row r="5132" spans="1:2" ht="15">
      <c r="A5132" s="77" t="s">
        <v>8814</v>
      </c>
      <c r="B5132" s="76" t="s">
        <v>10945</v>
      </c>
    </row>
    <row r="5133" spans="1:2" ht="15">
      <c r="A5133" s="77" t="s">
        <v>8815</v>
      </c>
      <c r="B5133" s="76" t="s">
        <v>10945</v>
      </c>
    </row>
    <row r="5134" spans="1:2" ht="15">
      <c r="A5134" s="77" t="s">
        <v>8816</v>
      </c>
      <c r="B5134" s="76" t="s">
        <v>10945</v>
      </c>
    </row>
    <row r="5135" spans="1:2" ht="15">
      <c r="A5135" s="77" t="s">
        <v>8817</v>
      </c>
      <c r="B5135" s="76" t="s">
        <v>10945</v>
      </c>
    </row>
    <row r="5136" spans="1:2" ht="15">
      <c r="A5136" s="77" t="s">
        <v>8818</v>
      </c>
      <c r="B5136" s="76" t="s">
        <v>10945</v>
      </c>
    </row>
    <row r="5137" spans="1:2" ht="15">
      <c r="A5137" s="77" t="s">
        <v>8819</v>
      </c>
      <c r="B5137" s="76" t="s">
        <v>10945</v>
      </c>
    </row>
    <row r="5138" spans="1:2" ht="15">
      <c r="A5138" s="77" t="s">
        <v>8820</v>
      </c>
      <c r="B5138" s="76" t="s">
        <v>10945</v>
      </c>
    </row>
    <row r="5139" spans="1:2" ht="15">
      <c r="A5139" s="77" t="s">
        <v>8821</v>
      </c>
      <c r="B5139" s="76" t="s">
        <v>10945</v>
      </c>
    </row>
    <row r="5140" spans="1:2" ht="15">
      <c r="A5140" s="77" t="s">
        <v>8822</v>
      </c>
      <c r="B5140" s="76" t="s">
        <v>10945</v>
      </c>
    </row>
    <row r="5141" spans="1:2" ht="15">
      <c r="A5141" s="77" t="s">
        <v>8823</v>
      </c>
      <c r="B5141" s="76" t="s">
        <v>10945</v>
      </c>
    </row>
    <row r="5142" spans="1:2" ht="15">
      <c r="A5142" s="77" t="s">
        <v>8824</v>
      </c>
      <c r="B5142" s="76" t="s">
        <v>10945</v>
      </c>
    </row>
    <row r="5143" spans="1:2" ht="15">
      <c r="A5143" s="77" t="s">
        <v>8825</v>
      </c>
      <c r="B5143" s="76" t="s">
        <v>10945</v>
      </c>
    </row>
    <row r="5144" spans="1:2" ht="15">
      <c r="A5144" s="77" t="s">
        <v>8826</v>
      </c>
      <c r="B5144" s="76" t="s">
        <v>10945</v>
      </c>
    </row>
    <row r="5145" spans="1:2" ht="15">
      <c r="A5145" s="77" t="s">
        <v>8827</v>
      </c>
      <c r="B5145" s="76" t="s">
        <v>10945</v>
      </c>
    </row>
    <row r="5146" spans="1:2" ht="15">
      <c r="A5146" s="77" t="s">
        <v>8828</v>
      </c>
      <c r="B5146" s="76" t="s">
        <v>10945</v>
      </c>
    </row>
    <row r="5147" spans="1:2" ht="15">
      <c r="A5147" s="77" t="s">
        <v>8829</v>
      </c>
      <c r="B5147" s="76" t="s">
        <v>10945</v>
      </c>
    </row>
    <row r="5148" spans="1:2" ht="15">
      <c r="A5148" s="77" t="s">
        <v>8830</v>
      </c>
      <c r="B5148" s="76" t="s">
        <v>10945</v>
      </c>
    </row>
    <row r="5149" spans="1:2" ht="15">
      <c r="A5149" s="77" t="s">
        <v>8831</v>
      </c>
      <c r="B5149" s="76" t="s">
        <v>10945</v>
      </c>
    </row>
    <row r="5150" spans="1:2" ht="15">
      <c r="A5150" s="77" t="s">
        <v>8832</v>
      </c>
      <c r="B5150" s="76" t="s">
        <v>10945</v>
      </c>
    </row>
    <row r="5151" spans="1:2" ht="15">
      <c r="A5151" s="77" t="s">
        <v>8833</v>
      </c>
      <c r="B5151" s="76" t="s">
        <v>10945</v>
      </c>
    </row>
    <row r="5152" spans="1:2" ht="15">
      <c r="A5152" s="77" t="s">
        <v>8834</v>
      </c>
      <c r="B5152" s="76" t="s">
        <v>10945</v>
      </c>
    </row>
    <row r="5153" spans="1:2" ht="15">
      <c r="A5153" s="77" t="s">
        <v>8835</v>
      </c>
      <c r="B5153" s="76" t="s">
        <v>10945</v>
      </c>
    </row>
    <row r="5154" spans="1:2" ht="15">
      <c r="A5154" s="77" t="s">
        <v>8836</v>
      </c>
      <c r="B5154" s="76" t="s">
        <v>10945</v>
      </c>
    </row>
    <row r="5155" spans="1:2" ht="15">
      <c r="A5155" s="77" t="s">
        <v>8837</v>
      </c>
      <c r="B5155" s="76" t="s">
        <v>10945</v>
      </c>
    </row>
    <row r="5156" spans="1:2" ht="15">
      <c r="A5156" s="77" t="s">
        <v>3356</v>
      </c>
      <c r="B5156" s="76" t="s">
        <v>10945</v>
      </c>
    </row>
    <row r="5157" spans="1:2" ht="15">
      <c r="A5157" s="77" t="s">
        <v>2583</v>
      </c>
      <c r="B5157" s="76" t="s">
        <v>10945</v>
      </c>
    </row>
    <row r="5158" spans="1:2" ht="15">
      <c r="A5158" s="77" t="s">
        <v>3679</v>
      </c>
      <c r="B5158" s="76" t="s">
        <v>10945</v>
      </c>
    </row>
    <row r="5159" spans="1:2" ht="15">
      <c r="A5159" s="77" t="s">
        <v>3788</v>
      </c>
      <c r="B5159" s="76" t="s">
        <v>10945</v>
      </c>
    </row>
    <row r="5160" spans="1:2" ht="15">
      <c r="A5160" s="77" t="s">
        <v>8838</v>
      </c>
      <c r="B5160" s="76" t="s">
        <v>10945</v>
      </c>
    </row>
    <row r="5161" spans="1:2" ht="15">
      <c r="A5161" s="77" t="s">
        <v>8839</v>
      </c>
      <c r="B5161" s="76" t="s">
        <v>10945</v>
      </c>
    </row>
    <row r="5162" spans="1:2" ht="15">
      <c r="A5162" s="77" t="s">
        <v>8840</v>
      </c>
      <c r="B5162" s="76" t="s">
        <v>10945</v>
      </c>
    </row>
    <row r="5163" spans="1:2" ht="15">
      <c r="A5163" s="77" t="s">
        <v>8841</v>
      </c>
      <c r="B5163" s="76" t="s">
        <v>10945</v>
      </c>
    </row>
    <row r="5164" spans="1:2" ht="15">
      <c r="A5164" s="77" t="s">
        <v>2617</v>
      </c>
      <c r="B5164" s="76" t="s">
        <v>10945</v>
      </c>
    </row>
    <row r="5165" spans="1:2" ht="15">
      <c r="A5165" s="77" t="s">
        <v>8842</v>
      </c>
      <c r="B5165" s="76" t="s">
        <v>10945</v>
      </c>
    </row>
    <row r="5166" spans="1:2" ht="15">
      <c r="A5166" s="77" t="s">
        <v>8843</v>
      </c>
      <c r="B5166" s="76" t="s">
        <v>10945</v>
      </c>
    </row>
    <row r="5167" spans="1:2" ht="15">
      <c r="A5167" s="77" t="s">
        <v>8844</v>
      </c>
      <c r="B5167" s="76" t="s">
        <v>10945</v>
      </c>
    </row>
    <row r="5168" spans="1:2" ht="15">
      <c r="A5168" s="77" t="s">
        <v>8845</v>
      </c>
      <c r="B5168" s="76" t="s">
        <v>10945</v>
      </c>
    </row>
    <row r="5169" spans="1:2" ht="15">
      <c r="A5169" s="77" t="s">
        <v>8846</v>
      </c>
      <c r="B5169" s="76" t="s">
        <v>10945</v>
      </c>
    </row>
    <row r="5170" spans="1:2" ht="15">
      <c r="A5170" s="77" t="s">
        <v>8847</v>
      </c>
      <c r="B5170" s="76" t="s">
        <v>10945</v>
      </c>
    </row>
    <row r="5171" spans="1:2" ht="15">
      <c r="A5171" s="77" t="s">
        <v>8848</v>
      </c>
      <c r="B5171" s="76" t="s">
        <v>10945</v>
      </c>
    </row>
    <row r="5172" spans="1:2" ht="15">
      <c r="A5172" s="77" t="s">
        <v>8849</v>
      </c>
      <c r="B5172" s="76" t="s">
        <v>10945</v>
      </c>
    </row>
    <row r="5173" spans="1:2" ht="15">
      <c r="A5173" s="77" t="s">
        <v>8850</v>
      </c>
      <c r="B5173" s="76" t="s">
        <v>10945</v>
      </c>
    </row>
    <row r="5174" spans="1:2" ht="15">
      <c r="A5174" s="77" t="s">
        <v>8851</v>
      </c>
      <c r="B5174" s="76" t="s">
        <v>10945</v>
      </c>
    </row>
    <row r="5175" spans="1:2" ht="15">
      <c r="A5175" s="77" t="s">
        <v>8852</v>
      </c>
      <c r="B5175" s="76" t="s">
        <v>10945</v>
      </c>
    </row>
    <row r="5176" spans="1:2" ht="15">
      <c r="A5176" s="77" t="s">
        <v>8853</v>
      </c>
      <c r="B5176" s="76" t="s">
        <v>10945</v>
      </c>
    </row>
    <row r="5177" spans="1:2" ht="15">
      <c r="A5177" s="77" t="s">
        <v>8854</v>
      </c>
      <c r="B5177" s="76" t="s">
        <v>10945</v>
      </c>
    </row>
    <row r="5178" spans="1:2" ht="15">
      <c r="A5178" s="77" t="s">
        <v>8855</v>
      </c>
      <c r="B5178" s="76" t="s">
        <v>10945</v>
      </c>
    </row>
    <row r="5179" spans="1:2" ht="15">
      <c r="A5179" s="77" t="s">
        <v>8856</v>
      </c>
      <c r="B5179" s="76" t="s">
        <v>10945</v>
      </c>
    </row>
    <row r="5180" spans="1:2" ht="15">
      <c r="A5180" s="77" t="s">
        <v>8857</v>
      </c>
      <c r="B5180" s="76" t="s">
        <v>10945</v>
      </c>
    </row>
    <row r="5181" spans="1:2" ht="15">
      <c r="A5181" s="77" t="s">
        <v>8858</v>
      </c>
      <c r="B5181" s="76" t="s">
        <v>10945</v>
      </c>
    </row>
    <row r="5182" spans="1:2" ht="15">
      <c r="A5182" s="77" t="s">
        <v>8859</v>
      </c>
      <c r="B5182" s="76" t="s">
        <v>10945</v>
      </c>
    </row>
    <row r="5183" spans="1:2" ht="15">
      <c r="A5183" s="77" t="s">
        <v>8860</v>
      </c>
      <c r="B5183" s="76" t="s">
        <v>10945</v>
      </c>
    </row>
    <row r="5184" spans="1:2" ht="15">
      <c r="A5184" s="77" t="s">
        <v>8861</v>
      </c>
      <c r="B5184" s="76" t="s">
        <v>10945</v>
      </c>
    </row>
    <row r="5185" spans="1:2" ht="15">
      <c r="A5185" s="77" t="s">
        <v>8862</v>
      </c>
      <c r="B5185" s="76" t="s">
        <v>10945</v>
      </c>
    </row>
    <row r="5186" spans="1:2" ht="15">
      <c r="A5186" s="77" t="s">
        <v>8863</v>
      </c>
      <c r="B5186" s="76" t="s">
        <v>10945</v>
      </c>
    </row>
    <row r="5187" spans="1:2" ht="15">
      <c r="A5187" s="77" t="s">
        <v>8864</v>
      </c>
      <c r="B5187" s="76" t="s">
        <v>10945</v>
      </c>
    </row>
    <row r="5188" spans="1:2" ht="15">
      <c r="A5188" s="77" t="s">
        <v>8865</v>
      </c>
      <c r="B5188" s="76" t="s">
        <v>10945</v>
      </c>
    </row>
    <row r="5189" spans="1:2" ht="15">
      <c r="A5189" s="77" t="s">
        <v>8866</v>
      </c>
      <c r="B5189" s="76" t="s">
        <v>10945</v>
      </c>
    </row>
    <row r="5190" spans="1:2" ht="15">
      <c r="A5190" s="77" t="s">
        <v>8867</v>
      </c>
      <c r="B5190" s="76" t="s">
        <v>10945</v>
      </c>
    </row>
    <row r="5191" spans="1:2" ht="15">
      <c r="A5191" s="77" t="s">
        <v>8868</v>
      </c>
      <c r="B5191" s="76" t="s">
        <v>10945</v>
      </c>
    </row>
    <row r="5192" spans="1:2" ht="15">
      <c r="A5192" s="77" t="s">
        <v>8869</v>
      </c>
      <c r="B5192" s="76" t="s">
        <v>10945</v>
      </c>
    </row>
    <row r="5193" spans="1:2" ht="15">
      <c r="A5193" s="77" t="s">
        <v>8870</v>
      </c>
      <c r="B5193" s="76" t="s">
        <v>10945</v>
      </c>
    </row>
    <row r="5194" spans="1:2" ht="15">
      <c r="A5194" s="77" t="s">
        <v>8871</v>
      </c>
      <c r="B5194" s="76" t="s">
        <v>10945</v>
      </c>
    </row>
    <row r="5195" spans="1:2" ht="15">
      <c r="A5195" s="77" t="s">
        <v>8872</v>
      </c>
      <c r="B5195" s="76" t="s">
        <v>10945</v>
      </c>
    </row>
    <row r="5196" spans="1:2" ht="15">
      <c r="A5196" s="77" t="s">
        <v>8873</v>
      </c>
      <c r="B5196" s="76" t="s">
        <v>10945</v>
      </c>
    </row>
    <row r="5197" spans="1:2" ht="15">
      <c r="A5197" s="77" t="s">
        <v>8874</v>
      </c>
      <c r="B5197" s="76" t="s">
        <v>10945</v>
      </c>
    </row>
    <row r="5198" spans="1:2" ht="15">
      <c r="A5198" s="77" t="s">
        <v>8875</v>
      </c>
      <c r="B5198" s="76" t="s">
        <v>10945</v>
      </c>
    </row>
    <row r="5199" spans="1:2" ht="15">
      <c r="A5199" s="77" t="s">
        <v>8876</v>
      </c>
      <c r="B5199" s="76" t="s">
        <v>10945</v>
      </c>
    </row>
    <row r="5200" spans="1:2" ht="15">
      <c r="A5200" s="77" t="s">
        <v>8877</v>
      </c>
      <c r="B5200" s="76" t="s">
        <v>10945</v>
      </c>
    </row>
    <row r="5201" spans="1:2" ht="15">
      <c r="A5201" s="77" t="s">
        <v>8878</v>
      </c>
      <c r="B5201" s="76" t="s">
        <v>10945</v>
      </c>
    </row>
    <row r="5202" spans="1:2" ht="15">
      <c r="A5202" s="77" t="s">
        <v>8879</v>
      </c>
      <c r="B5202" s="76" t="s">
        <v>10945</v>
      </c>
    </row>
    <row r="5203" spans="1:2" ht="15">
      <c r="A5203" s="77" t="s">
        <v>8880</v>
      </c>
      <c r="B5203" s="76" t="s">
        <v>10945</v>
      </c>
    </row>
    <row r="5204" spans="1:2" ht="15">
      <c r="A5204" s="77" t="s">
        <v>8881</v>
      </c>
      <c r="B5204" s="76" t="s">
        <v>10945</v>
      </c>
    </row>
    <row r="5205" spans="1:2" ht="15">
      <c r="A5205" s="77" t="s">
        <v>8882</v>
      </c>
      <c r="B5205" s="76" t="s">
        <v>10945</v>
      </c>
    </row>
    <row r="5206" spans="1:2" ht="15">
      <c r="A5206" s="77" t="s">
        <v>8883</v>
      </c>
      <c r="B5206" s="76" t="s">
        <v>10945</v>
      </c>
    </row>
    <row r="5207" spans="1:2" ht="15">
      <c r="A5207" s="77" t="s">
        <v>8884</v>
      </c>
      <c r="B5207" s="76" t="s">
        <v>10945</v>
      </c>
    </row>
    <row r="5208" spans="1:2" ht="15">
      <c r="A5208" s="77" t="s">
        <v>8885</v>
      </c>
      <c r="B5208" s="76" t="s">
        <v>10945</v>
      </c>
    </row>
    <row r="5209" spans="1:2" ht="15">
      <c r="A5209" s="77" t="s">
        <v>8886</v>
      </c>
      <c r="B5209" s="76" t="s">
        <v>10945</v>
      </c>
    </row>
    <row r="5210" spans="1:2" ht="15">
      <c r="A5210" s="77" t="s">
        <v>8887</v>
      </c>
      <c r="B5210" s="76" t="s">
        <v>10945</v>
      </c>
    </row>
    <row r="5211" spans="1:2" ht="15">
      <c r="A5211" s="77" t="s">
        <v>8888</v>
      </c>
      <c r="B5211" s="76" t="s">
        <v>10945</v>
      </c>
    </row>
    <row r="5212" spans="1:2" ht="15">
      <c r="A5212" s="77" t="s">
        <v>8889</v>
      </c>
      <c r="B5212" s="76" t="s">
        <v>10945</v>
      </c>
    </row>
    <row r="5213" spans="1:2" ht="15">
      <c r="A5213" s="77" t="s">
        <v>8890</v>
      </c>
      <c r="B5213" s="76" t="s">
        <v>10945</v>
      </c>
    </row>
    <row r="5214" spans="1:2" ht="15">
      <c r="A5214" s="77" t="s">
        <v>8891</v>
      </c>
      <c r="B5214" s="76" t="s">
        <v>10945</v>
      </c>
    </row>
    <row r="5215" spans="1:2" ht="15">
      <c r="A5215" s="77" t="s">
        <v>8892</v>
      </c>
      <c r="B5215" s="76" t="s">
        <v>10945</v>
      </c>
    </row>
    <row r="5216" spans="1:2" ht="15">
      <c r="A5216" s="77" t="s">
        <v>8893</v>
      </c>
      <c r="B5216" s="76" t="s">
        <v>10945</v>
      </c>
    </row>
    <row r="5217" spans="1:2" ht="15">
      <c r="A5217" s="77" t="s">
        <v>8894</v>
      </c>
      <c r="B5217" s="76" t="s">
        <v>10945</v>
      </c>
    </row>
    <row r="5218" spans="1:2" ht="15">
      <c r="A5218" s="77" t="s">
        <v>8895</v>
      </c>
      <c r="B5218" s="76" t="s">
        <v>10945</v>
      </c>
    </row>
    <row r="5219" spans="1:2" ht="15">
      <c r="A5219" s="77" t="s">
        <v>8896</v>
      </c>
      <c r="B5219" s="76" t="s">
        <v>10945</v>
      </c>
    </row>
    <row r="5220" spans="1:2" ht="15">
      <c r="A5220" s="77" t="s">
        <v>8897</v>
      </c>
      <c r="B5220" s="76" t="s">
        <v>10945</v>
      </c>
    </row>
    <row r="5221" spans="1:2" ht="15">
      <c r="A5221" s="77" t="s">
        <v>8898</v>
      </c>
      <c r="B5221" s="76" t="s">
        <v>10945</v>
      </c>
    </row>
    <row r="5222" spans="1:2" ht="15">
      <c r="A5222" s="77" t="s">
        <v>8899</v>
      </c>
      <c r="B5222" s="76" t="s">
        <v>10945</v>
      </c>
    </row>
    <row r="5223" spans="1:2" ht="15">
      <c r="A5223" s="77" t="s">
        <v>8900</v>
      </c>
      <c r="B5223" s="76" t="s">
        <v>10945</v>
      </c>
    </row>
    <row r="5224" spans="1:2" ht="15">
      <c r="A5224" s="77" t="s">
        <v>8901</v>
      </c>
      <c r="B5224" s="76" t="s">
        <v>10945</v>
      </c>
    </row>
    <row r="5225" spans="1:2" ht="15">
      <c r="A5225" s="77" t="s">
        <v>8902</v>
      </c>
      <c r="B5225" s="76" t="s">
        <v>10945</v>
      </c>
    </row>
    <row r="5226" spans="1:2" ht="15">
      <c r="A5226" s="77" t="s">
        <v>8903</v>
      </c>
      <c r="B5226" s="76" t="s">
        <v>10945</v>
      </c>
    </row>
    <row r="5227" spans="1:2" ht="15">
      <c r="A5227" s="77" t="s">
        <v>8904</v>
      </c>
      <c r="B5227" s="76" t="s">
        <v>10945</v>
      </c>
    </row>
    <row r="5228" spans="1:2" ht="15">
      <c r="A5228" s="77" t="s">
        <v>8905</v>
      </c>
      <c r="B5228" s="76" t="s">
        <v>10945</v>
      </c>
    </row>
    <row r="5229" spans="1:2" ht="15">
      <c r="A5229" s="77" t="s">
        <v>8906</v>
      </c>
      <c r="B5229" s="76" t="s">
        <v>10945</v>
      </c>
    </row>
    <row r="5230" spans="1:2" ht="15">
      <c r="A5230" s="77" t="s">
        <v>8907</v>
      </c>
      <c r="B5230" s="76" t="s">
        <v>10945</v>
      </c>
    </row>
    <row r="5231" spans="1:2" ht="15">
      <c r="A5231" s="77" t="s">
        <v>8908</v>
      </c>
      <c r="B5231" s="76" t="s">
        <v>10945</v>
      </c>
    </row>
    <row r="5232" spans="1:2" ht="15">
      <c r="A5232" s="77" t="s">
        <v>8909</v>
      </c>
      <c r="B5232" s="76" t="s">
        <v>10945</v>
      </c>
    </row>
    <row r="5233" spans="1:2" ht="15">
      <c r="A5233" s="77" t="s">
        <v>8910</v>
      </c>
      <c r="B5233" s="76" t="s">
        <v>10945</v>
      </c>
    </row>
    <row r="5234" spans="1:2" ht="15">
      <c r="A5234" s="77" t="s">
        <v>8911</v>
      </c>
      <c r="B5234" s="76" t="s">
        <v>10945</v>
      </c>
    </row>
    <row r="5235" spans="1:2" ht="15">
      <c r="A5235" s="77" t="s">
        <v>8912</v>
      </c>
      <c r="B5235" s="76" t="s">
        <v>10945</v>
      </c>
    </row>
    <row r="5236" spans="1:2" ht="15">
      <c r="A5236" s="77" t="s">
        <v>8913</v>
      </c>
      <c r="B5236" s="76" t="s">
        <v>10945</v>
      </c>
    </row>
    <row r="5237" spans="1:2" ht="15">
      <c r="A5237" s="77" t="s">
        <v>8914</v>
      </c>
      <c r="B5237" s="76" t="s">
        <v>10945</v>
      </c>
    </row>
    <row r="5238" spans="1:2" ht="15">
      <c r="A5238" s="77" t="s">
        <v>8915</v>
      </c>
      <c r="B5238" s="76" t="s">
        <v>10945</v>
      </c>
    </row>
    <row r="5239" spans="1:2" ht="15">
      <c r="A5239" s="77" t="s">
        <v>8916</v>
      </c>
      <c r="B5239" s="76" t="s">
        <v>10945</v>
      </c>
    </row>
    <row r="5240" spans="1:2" ht="15">
      <c r="A5240" s="77" t="s">
        <v>8917</v>
      </c>
      <c r="B5240" s="76" t="s">
        <v>10945</v>
      </c>
    </row>
    <row r="5241" spans="1:2" ht="15">
      <c r="A5241" s="77" t="s">
        <v>8918</v>
      </c>
      <c r="B5241" s="76" t="s">
        <v>10945</v>
      </c>
    </row>
    <row r="5242" spans="1:2" ht="15">
      <c r="A5242" s="77" t="s">
        <v>8919</v>
      </c>
      <c r="B5242" s="76" t="s">
        <v>10945</v>
      </c>
    </row>
    <row r="5243" spans="1:2" ht="15">
      <c r="A5243" s="77" t="s">
        <v>8920</v>
      </c>
      <c r="B5243" s="76" t="s">
        <v>10945</v>
      </c>
    </row>
    <row r="5244" spans="1:2" ht="15">
      <c r="A5244" s="77" t="s">
        <v>8921</v>
      </c>
      <c r="B5244" s="76" t="s">
        <v>10945</v>
      </c>
    </row>
    <row r="5245" spans="1:2" ht="15">
      <c r="A5245" s="77" t="s">
        <v>8922</v>
      </c>
      <c r="B5245" s="76" t="s">
        <v>10945</v>
      </c>
    </row>
    <row r="5246" spans="1:2" ht="15">
      <c r="A5246" s="77" t="s">
        <v>8923</v>
      </c>
      <c r="B5246" s="76" t="s">
        <v>10945</v>
      </c>
    </row>
    <row r="5247" spans="1:2" ht="15">
      <c r="A5247" s="77" t="s">
        <v>8924</v>
      </c>
      <c r="B5247" s="76" t="s">
        <v>10945</v>
      </c>
    </row>
    <row r="5248" spans="1:2" ht="15">
      <c r="A5248" s="77" t="s">
        <v>8925</v>
      </c>
      <c r="B5248" s="76" t="s">
        <v>10945</v>
      </c>
    </row>
    <row r="5249" spans="1:2" ht="15">
      <c r="A5249" s="77" t="s">
        <v>8926</v>
      </c>
      <c r="B5249" s="76" t="s">
        <v>10945</v>
      </c>
    </row>
    <row r="5250" spans="1:2" ht="15">
      <c r="A5250" s="77" t="s">
        <v>8927</v>
      </c>
      <c r="B5250" s="76" t="s">
        <v>10945</v>
      </c>
    </row>
    <row r="5251" spans="1:2" ht="15">
      <c r="A5251" s="77" t="s">
        <v>8928</v>
      </c>
      <c r="B5251" s="76" t="s">
        <v>10945</v>
      </c>
    </row>
    <row r="5252" spans="1:2" ht="15">
      <c r="A5252" s="77" t="s">
        <v>8929</v>
      </c>
      <c r="B5252" s="76" t="s">
        <v>10945</v>
      </c>
    </row>
    <row r="5253" spans="1:2" ht="15">
      <c r="A5253" s="77" t="s">
        <v>8930</v>
      </c>
      <c r="B5253" s="76" t="s">
        <v>10945</v>
      </c>
    </row>
    <row r="5254" spans="1:2" ht="15">
      <c r="A5254" s="77" t="s">
        <v>8931</v>
      </c>
      <c r="B5254" s="76" t="s">
        <v>10945</v>
      </c>
    </row>
    <row r="5255" spans="1:2" ht="15">
      <c r="A5255" s="77" t="s">
        <v>8932</v>
      </c>
      <c r="B5255" s="76" t="s">
        <v>10945</v>
      </c>
    </row>
    <row r="5256" spans="1:2" ht="15">
      <c r="A5256" s="77" t="s">
        <v>8933</v>
      </c>
      <c r="B5256" s="76" t="s">
        <v>10945</v>
      </c>
    </row>
    <row r="5257" spans="1:2" ht="15">
      <c r="A5257" s="77" t="s">
        <v>8934</v>
      </c>
      <c r="B5257" s="76" t="s">
        <v>10945</v>
      </c>
    </row>
    <row r="5258" spans="1:2" ht="15">
      <c r="A5258" s="77" t="s">
        <v>8935</v>
      </c>
      <c r="B5258" s="76" t="s">
        <v>10945</v>
      </c>
    </row>
    <row r="5259" spans="1:2" ht="15">
      <c r="A5259" s="77" t="s">
        <v>8936</v>
      </c>
      <c r="B5259" s="76" t="s">
        <v>10945</v>
      </c>
    </row>
    <row r="5260" spans="1:2" ht="15">
      <c r="A5260" s="77" t="s">
        <v>8937</v>
      </c>
      <c r="B5260" s="76" t="s">
        <v>10945</v>
      </c>
    </row>
    <row r="5261" spans="1:2" ht="15">
      <c r="A5261" s="77" t="s">
        <v>8938</v>
      </c>
      <c r="B5261" s="76" t="s">
        <v>10945</v>
      </c>
    </row>
    <row r="5262" spans="1:2" ht="15">
      <c r="A5262" s="77" t="s">
        <v>8939</v>
      </c>
      <c r="B5262" s="76" t="s">
        <v>10945</v>
      </c>
    </row>
    <row r="5263" spans="1:2" ht="15">
      <c r="A5263" s="77" t="s">
        <v>8940</v>
      </c>
      <c r="B5263" s="76" t="s">
        <v>10945</v>
      </c>
    </row>
    <row r="5264" spans="1:2" ht="15">
      <c r="A5264" s="77" t="s">
        <v>8941</v>
      </c>
      <c r="B5264" s="76" t="s">
        <v>10945</v>
      </c>
    </row>
    <row r="5265" spans="1:2" ht="15">
      <c r="A5265" s="77" t="s">
        <v>8942</v>
      </c>
      <c r="B5265" s="76" t="s">
        <v>10945</v>
      </c>
    </row>
    <row r="5266" spans="1:2" ht="15">
      <c r="A5266" s="77" t="s">
        <v>8943</v>
      </c>
      <c r="B5266" s="76" t="s">
        <v>10945</v>
      </c>
    </row>
    <row r="5267" spans="1:2" ht="15">
      <c r="A5267" s="77" t="s">
        <v>8944</v>
      </c>
      <c r="B5267" s="76" t="s">
        <v>10945</v>
      </c>
    </row>
    <row r="5268" spans="1:2" ht="15">
      <c r="A5268" s="77" t="s">
        <v>8945</v>
      </c>
      <c r="B5268" s="76" t="s">
        <v>10945</v>
      </c>
    </row>
    <row r="5269" spans="1:2" ht="15">
      <c r="A5269" s="77" t="s">
        <v>8946</v>
      </c>
      <c r="B5269" s="76" t="s">
        <v>10945</v>
      </c>
    </row>
    <row r="5270" spans="1:2" ht="15">
      <c r="A5270" s="77" t="s">
        <v>8947</v>
      </c>
      <c r="B5270" s="76" t="s">
        <v>10945</v>
      </c>
    </row>
    <row r="5271" spans="1:2" ht="15">
      <c r="A5271" s="77" t="s">
        <v>8948</v>
      </c>
      <c r="B5271" s="76" t="s">
        <v>10945</v>
      </c>
    </row>
    <row r="5272" spans="1:2" ht="15">
      <c r="A5272" s="77" t="s">
        <v>8949</v>
      </c>
      <c r="B5272" s="76" t="s">
        <v>10945</v>
      </c>
    </row>
    <row r="5273" spans="1:2" ht="15">
      <c r="A5273" s="77" t="s">
        <v>8950</v>
      </c>
      <c r="B5273" s="76" t="s">
        <v>10945</v>
      </c>
    </row>
    <row r="5274" spans="1:2" ht="15">
      <c r="A5274" s="77" t="s">
        <v>8951</v>
      </c>
      <c r="B5274" s="76" t="s">
        <v>10945</v>
      </c>
    </row>
    <row r="5275" spans="1:2" ht="15">
      <c r="A5275" s="77" t="s">
        <v>8952</v>
      </c>
      <c r="B5275" s="76" t="s">
        <v>10945</v>
      </c>
    </row>
    <row r="5276" spans="1:2" ht="15">
      <c r="A5276" s="77" t="s">
        <v>8953</v>
      </c>
      <c r="B5276" s="76" t="s">
        <v>10945</v>
      </c>
    </row>
    <row r="5277" spans="1:2" ht="15">
      <c r="A5277" s="77" t="s">
        <v>8954</v>
      </c>
      <c r="B5277" s="76" t="s">
        <v>10945</v>
      </c>
    </row>
    <row r="5278" spans="1:2" ht="15">
      <c r="A5278" s="77" t="s">
        <v>8955</v>
      </c>
      <c r="B5278" s="76" t="s">
        <v>10945</v>
      </c>
    </row>
    <row r="5279" spans="1:2" ht="15">
      <c r="A5279" s="77" t="s">
        <v>8956</v>
      </c>
      <c r="B5279" s="76" t="s">
        <v>10945</v>
      </c>
    </row>
    <row r="5280" spans="1:2" ht="15">
      <c r="A5280" s="77" t="s">
        <v>8957</v>
      </c>
      <c r="B5280" s="76" t="s">
        <v>10945</v>
      </c>
    </row>
    <row r="5281" spans="1:2" ht="15">
      <c r="A5281" s="77" t="s">
        <v>8958</v>
      </c>
      <c r="B5281" s="76" t="s">
        <v>10945</v>
      </c>
    </row>
    <row r="5282" spans="1:2" ht="15">
      <c r="A5282" s="77" t="s">
        <v>8959</v>
      </c>
      <c r="B5282" s="76" t="s">
        <v>10945</v>
      </c>
    </row>
    <row r="5283" spans="1:2" ht="15">
      <c r="A5283" s="77" t="s">
        <v>8960</v>
      </c>
      <c r="B5283" s="76" t="s">
        <v>10945</v>
      </c>
    </row>
    <row r="5284" spans="1:2" ht="15">
      <c r="A5284" s="77" t="s">
        <v>8961</v>
      </c>
      <c r="B5284" s="76" t="s">
        <v>10945</v>
      </c>
    </row>
    <row r="5285" spans="1:2" ht="15">
      <c r="A5285" s="77" t="s">
        <v>2607</v>
      </c>
      <c r="B5285" s="76" t="s">
        <v>10945</v>
      </c>
    </row>
    <row r="5286" spans="1:2" ht="15">
      <c r="A5286" s="77" t="s">
        <v>2625</v>
      </c>
      <c r="B5286" s="76" t="s">
        <v>10945</v>
      </c>
    </row>
    <row r="5287" spans="1:2" ht="15">
      <c r="A5287" s="77" t="s">
        <v>8962</v>
      </c>
      <c r="B5287" s="76" t="s">
        <v>10945</v>
      </c>
    </row>
    <row r="5288" spans="1:2" ht="15">
      <c r="A5288" s="77" t="s">
        <v>2683</v>
      </c>
      <c r="B5288" s="76" t="s">
        <v>10945</v>
      </c>
    </row>
    <row r="5289" spans="1:2" ht="15">
      <c r="A5289" s="77" t="s">
        <v>8963</v>
      </c>
      <c r="B5289" s="76" t="s">
        <v>10945</v>
      </c>
    </row>
    <row r="5290" spans="1:2" ht="15">
      <c r="A5290" s="77" t="s">
        <v>8964</v>
      </c>
      <c r="B5290" s="76" t="s">
        <v>10945</v>
      </c>
    </row>
    <row r="5291" spans="1:2" ht="15">
      <c r="A5291" s="77" t="s">
        <v>8965</v>
      </c>
      <c r="B5291" s="76" t="s">
        <v>10945</v>
      </c>
    </row>
    <row r="5292" spans="1:2" ht="15">
      <c r="A5292" s="77" t="s">
        <v>8966</v>
      </c>
      <c r="B5292" s="76" t="s">
        <v>10945</v>
      </c>
    </row>
    <row r="5293" spans="1:2" ht="15">
      <c r="A5293" s="77" t="s">
        <v>8967</v>
      </c>
      <c r="B5293" s="76" t="s">
        <v>10945</v>
      </c>
    </row>
    <row r="5294" spans="1:2" ht="15">
      <c r="A5294" s="77" t="s">
        <v>8968</v>
      </c>
      <c r="B5294" s="76" t="s">
        <v>10945</v>
      </c>
    </row>
    <row r="5295" spans="1:2" ht="15">
      <c r="A5295" s="77" t="s">
        <v>8969</v>
      </c>
      <c r="B5295" s="76" t="s">
        <v>10945</v>
      </c>
    </row>
    <row r="5296" spans="1:2" ht="15">
      <c r="A5296" s="77" t="s">
        <v>8970</v>
      </c>
      <c r="B5296" s="76" t="s">
        <v>10945</v>
      </c>
    </row>
    <row r="5297" spans="1:2" ht="15">
      <c r="A5297" s="77" t="s">
        <v>8971</v>
      </c>
      <c r="B5297" s="76" t="s">
        <v>10945</v>
      </c>
    </row>
    <row r="5298" spans="1:2" ht="15">
      <c r="A5298" s="77" t="s">
        <v>8972</v>
      </c>
      <c r="B5298" s="76" t="s">
        <v>10945</v>
      </c>
    </row>
    <row r="5299" spans="1:2" ht="15">
      <c r="A5299" s="77" t="s">
        <v>8973</v>
      </c>
      <c r="B5299" s="76" t="s">
        <v>10945</v>
      </c>
    </row>
    <row r="5300" spans="1:2" ht="15">
      <c r="A5300" s="77" t="s">
        <v>8974</v>
      </c>
      <c r="B5300" s="76" t="s">
        <v>10945</v>
      </c>
    </row>
    <row r="5301" spans="1:2" ht="15">
      <c r="A5301" s="77" t="s">
        <v>8975</v>
      </c>
      <c r="B5301" s="76" t="s">
        <v>10945</v>
      </c>
    </row>
    <row r="5302" spans="1:2" ht="15">
      <c r="A5302" s="77" t="s">
        <v>8976</v>
      </c>
      <c r="B5302" s="76" t="s">
        <v>10945</v>
      </c>
    </row>
    <row r="5303" spans="1:2" ht="15">
      <c r="A5303" s="77" t="s">
        <v>8977</v>
      </c>
      <c r="B5303" s="76" t="s">
        <v>10945</v>
      </c>
    </row>
    <row r="5304" spans="1:2" ht="15">
      <c r="A5304" s="77" t="s">
        <v>8978</v>
      </c>
      <c r="B5304" s="76" t="s">
        <v>10945</v>
      </c>
    </row>
    <row r="5305" spans="1:2" ht="15">
      <c r="A5305" s="77" t="s">
        <v>8979</v>
      </c>
      <c r="B5305" s="76" t="s">
        <v>10945</v>
      </c>
    </row>
    <row r="5306" spans="1:2" ht="15">
      <c r="A5306" s="77" t="s">
        <v>8980</v>
      </c>
      <c r="B5306" s="76" t="s">
        <v>10945</v>
      </c>
    </row>
    <row r="5307" spans="1:2" ht="15">
      <c r="A5307" s="77" t="s">
        <v>8981</v>
      </c>
      <c r="B5307" s="76" t="s">
        <v>10945</v>
      </c>
    </row>
    <row r="5308" spans="1:2" ht="15">
      <c r="A5308" s="77" t="s">
        <v>8982</v>
      </c>
      <c r="B5308" s="76" t="s">
        <v>10945</v>
      </c>
    </row>
    <row r="5309" spans="1:2" ht="15">
      <c r="A5309" s="77" t="s">
        <v>3045</v>
      </c>
      <c r="B5309" s="76" t="s">
        <v>10945</v>
      </c>
    </row>
    <row r="5310" spans="1:2" ht="15">
      <c r="A5310" s="77" t="s">
        <v>8983</v>
      </c>
      <c r="B5310" s="76" t="s">
        <v>10945</v>
      </c>
    </row>
    <row r="5311" spans="1:2" ht="15">
      <c r="A5311" s="77" t="s">
        <v>3781</v>
      </c>
      <c r="B5311" s="76" t="s">
        <v>10945</v>
      </c>
    </row>
    <row r="5312" spans="1:2" ht="15">
      <c r="A5312" s="77" t="s">
        <v>8984</v>
      </c>
      <c r="B5312" s="76" t="s">
        <v>10945</v>
      </c>
    </row>
    <row r="5313" spans="1:2" ht="15">
      <c r="A5313" s="77" t="s">
        <v>8985</v>
      </c>
      <c r="B5313" s="76" t="s">
        <v>10945</v>
      </c>
    </row>
    <row r="5314" spans="1:2" ht="15">
      <c r="A5314" s="77" t="s">
        <v>8986</v>
      </c>
      <c r="B5314" s="76" t="s">
        <v>10945</v>
      </c>
    </row>
    <row r="5315" spans="1:2" ht="15">
      <c r="A5315" s="77" t="s">
        <v>8987</v>
      </c>
      <c r="B5315" s="76" t="s">
        <v>10945</v>
      </c>
    </row>
    <row r="5316" spans="1:2" ht="15">
      <c r="A5316" s="77" t="s">
        <v>8988</v>
      </c>
      <c r="B5316" s="76" t="s">
        <v>10945</v>
      </c>
    </row>
    <row r="5317" spans="1:2" ht="15">
      <c r="A5317" s="77" t="s">
        <v>8989</v>
      </c>
      <c r="B5317" s="76" t="s">
        <v>10945</v>
      </c>
    </row>
    <row r="5318" spans="1:2" ht="15">
      <c r="A5318" s="77" t="s">
        <v>8990</v>
      </c>
      <c r="B5318" s="76" t="s">
        <v>10945</v>
      </c>
    </row>
    <row r="5319" spans="1:2" ht="15">
      <c r="A5319" s="77" t="s">
        <v>8991</v>
      </c>
      <c r="B5319" s="76" t="s">
        <v>10945</v>
      </c>
    </row>
    <row r="5320" spans="1:2" ht="15">
      <c r="A5320" s="77" t="s">
        <v>8992</v>
      </c>
      <c r="B5320" s="76" t="s">
        <v>10945</v>
      </c>
    </row>
    <row r="5321" spans="1:2" ht="15">
      <c r="A5321" s="77" t="s">
        <v>8993</v>
      </c>
      <c r="B5321" s="76" t="s">
        <v>10945</v>
      </c>
    </row>
    <row r="5322" spans="1:2" ht="15">
      <c r="A5322" s="77" t="s">
        <v>8994</v>
      </c>
      <c r="B5322" s="76" t="s">
        <v>10945</v>
      </c>
    </row>
    <row r="5323" spans="1:2" ht="15">
      <c r="A5323" s="77" t="s">
        <v>8995</v>
      </c>
      <c r="B5323" s="76" t="s">
        <v>10945</v>
      </c>
    </row>
    <row r="5324" spans="1:2" ht="15">
      <c r="A5324" s="77" t="s">
        <v>8996</v>
      </c>
      <c r="B5324" s="76" t="s">
        <v>10945</v>
      </c>
    </row>
    <row r="5325" spans="1:2" ht="15">
      <c r="A5325" s="77" t="s">
        <v>8997</v>
      </c>
      <c r="B5325" s="76" t="s">
        <v>10945</v>
      </c>
    </row>
    <row r="5326" spans="1:2" ht="15">
      <c r="A5326" s="77" t="s">
        <v>8998</v>
      </c>
      <c r="B5326" s="76" t="s">
        <v>10945</v>
      </c>
    </row>
    <row r="5327" spans="1:2" ht="15">
      <c r="A5327" s="77" t="s">
        <v>8999</v>
      </c>
      <c r="B5327" s="76" t="s">
        <v>10945</v>
      </c>
    </row>
    <row r="5328" spans="1:2" ht="15">
      <c r="A5328" s="77" t="s">
        <v>9000</v>
      </c>
      <c r="B5328" s="76" t="s">
        <v>10945</v>
      </c>
    </row>
    <row r="5329" spans="1:2" ht="15">
      <c r="A5329" s="77" t="s">
        <v>9001</v>
      </c>
      <c r="B5329" s="76" t="s">
        <v>10945</v>
      </c>
    </row>
    <row r="5330" spans="1:2" ht="15">
      <c r="A5330" s="77" t="s">
        <v>9002</v>
      </c>
      <c r="B5330" s="76" t="s">
        <v>10945</v>
      </c>
    </row>
    <row r="5331" spans="1:2" ht="15">
      <c r="A5331" s="77" t="s">
        <v>9003</v>
      </c>
      <c r="B5331" s="76" t="s">
        <v>10945</v>
      </c>
    </row>
    <row r="5332" spans="1:2" ht="15">
      <c r="A5332" s="77" t="s">
        <v>9004</v>
      </c>
      <c r="B5332" s="76" t="s">
        <v>10945</v>
      </c>
    </row>
    <row r="5333" spans="1:2" ht="15">
      <c r="A5333" s="77" t="s">
        <v>9005</v>
      </c>
      <c r="B5333" s="76" t="s">
        <v>10945</v>
      </c>
    </row>
    <row r="5334" spans="1:2" ht="15">
      <c r="A5334" s="77" t="s">
        <v>9006</v>
      </c>
      <c r="B5334" s="76" t="s">
        <v>10945</v>
      </c>
    </row>
    <row r="5335" spans="1:2" ht="15">
      <c r="A5335" s="77" t="s">
        <v>9007</v>
      </c>
      <c r="B5335" s="76" t="s">
        <v>10945</v>
      </c>
    </row>
    <row r="5336" spans="1:2" ht="15">
      <c r="A5336" s="77" t="s">
        <v>9008</v>
      </c>
      <c r="B5336" s="76" t="s">
        <v>10945</v>
      </c>
    </row>
    <row r="5337" spans="1:2" ht="15">
      <c r="A5337" s="77" t="s">
        <v>9009</v>
      </c>
      <c r="B5337" s="76" t="s">
        <v>10945</v>
      </c>
    </row>
    <row r="5338" spans="1:2" ht="15">
      <c r="A5338" s="77" t="s">
        <v>9010</v>
      </c>
      <c r="B5338" s="76" t="s">
        <v>10945</v>
      </c>
    </row>
    <row r="5339" spans="1:2" ht="15">
      <c r="A5339" s="77" t="s">
        <v>9011</v>
      </c>
      <c r="B5339" s="76" t="s">
        <v>10945</v>
      </c>
    </row>
    <row r="5340" spans="1:2" ht="15">
      <c r="A5340" s="77" t="s">
        <v>9012</v>
      </c>
      <c r="B5340" s="76" t="s">
        <v>10945</v>
      </c>
    </row>
    <row r="5341" spans="1:2" ht="15">
      <c r="A5341" s="77" t="s">
        <v>9013</v>
      </c>
      <c r="B5341" s="76" t="s">
        <v>10945</v>
      </c>
    </row>
    <row r="5342" spans="1:2" ht="15">
      <c r="A5342" s="77" t="s">
        <v>9014</v>
      </c>
      <c r="B5342" s="76" t="s">
        <v>10945</v>
      </c>
    </row>
    <row r="5343" spans="1:2" ht="15">
      <c r="A5343" s="77" t="s">
        <v>9015</v>
      </c>
      <c r="B5343" s="76" t="s">
        <v>10945</v>
      </c>
    </row>
    <row r="5344" spans="1:2" ht="15">
      <c r="A5344" s="77" t="s">
        <v>9016</v>
      </c>
      <c r="B5344" s="76" t="s">
        <v>10945</v>
      </c>
    </row>
    <row r="5345" spans="1:2" ht="15">
      <c r="A5345" s="77" t="s">
        <v>9017</v>
      </c>
      <c r="B5345" s="76" t="s">
        <v>10945</v>
      </c>
    </row>
    <row r="5346" spans="1:2" ht="15">
      <c r="A5346" s="77" t="s">
        <v>9018</v>
      </c>
      <c r="B5346" s="76" t="s">
        <v>10945</v>
      </c>
    </row>
    <row r="5347" spans="1:2" ht="15">
      <c r="A5347" s="77" t="s">
        <v>9019</v>
      </c>
      <c r="B5347" s="76" t="s">
        <v>10945</v>
      </c>
    </row>
    <row r="5348" spans="1:2" ht="15">
      <c r="A5348" s="77" t="s">
        <v>9020</v>
      </c>
      <c r="B5348" s="76" t="s">
        <v>10945</v>
      </c>
    </row>
    <row r="5349" spans="1:2" ht="15">
      <c r="A5349" s="77" t="s">
        <v>3012</v>
      </c>
      <c r="B5349" s="76" t="s">
        <v>10945</v>
      </c>
    </row>
    <row r="5350" spans="1:2" ht="15">
      <c r="A5350" s="77" t="s">
        <v>9021</v>
      </c>
      <c r="B5350" s="76" t="s">
        <v>10945</v>
      </c>
    </row>
    <row r="5351" spans="1:2" ht="15">
      <c r="A5351" s="77" t="s">
        <v>9022</v>
      </c>
      <c r="B5351" s="76" t="s">
        <v>10945</v>
      </c>
    </row>
    <row r="5352" spans="1:2" ht="15">
      <c r="A5352" s="77" t="s">
        <v>9023</v>
      </c>
      <c r="B5352" s="76" t="s">
        <v>10945</v>
      </c>
    </row>
    <row r="5353" spans="1:2" ht="15">
      <c r="A5353" s="77" t="s">
        <v>9024</v>
      </c>
      <c r="B5353" s="76" t="s">
        <v>10945</v>
      </c>
    </row>
    <row r="5354" spans="1:2" ht="15">
      <c r="A5354" s="77" t="s">
        <v>9025</v>
      </c>
      <c r="B5354" s="76" t="s">
        <v>10945</v>
      </c>
    </row>
    <row r="5355" spans="1:2" ht="15">
      <c r="A5355" s="77" t="s">
        <v>9026</v>
      </c>
      <c r="B5355" s="76" t="s">
        <v>10945</v>
      </c>
    </row>
    <row r="5356" spans="1:2" ht="15">
      <c r="A5356" s="77" t="s">
        <v>3677</v>
      </c>
      <c r="B5356" s="76" t="s">
        <v>10945</v>
      </c>
    </row>
    <row r="5357" spans="1:2" ht="15">
      <c r="A5357" s="77" t="s">
        <v>9027</v>
      </c>
      <c r="B5357" s="76" t="s">
        <v>10945</v>
      </c>
    </row>
    <row r="5358" spans="1:2" ht="15">
      <c r="A5358" s="77" t="s">
        <v>9028</v>
      </c>
      <c r="B5358" s="76" t="s">
        <v>10945</v>
      </c>
    </row>
    <row r="5359" spans="1:2" ht="15">
      <c r="A5359" s="77" t="s">
        <v>9029</v>
      </c>
      <c r="B5359" s="76" t="s">
        <v>10945</v>
      </c>
    </row>
    <row r="5360" spans="1:2" ht="15">
      <c r="A5360" s="77" t="s">
        <v>9030</v>
      </c>
      <c r="B5360" s="76" t="s">
        <v>10945</v>
      </c>
    </row>
    <row r="5361" spans="1:2" ht="15">
      <c r="A5361" s="77" t="s">
        <v>9031</v>
      </c>
      <c r="B5361" s="76" t="s">
        <v>10945</v>
      </c>
    </row>
    <row r="5362" spans="1:2" ht="15">
      <c r="A5362" s="77" t="s">
        <v>9032</v>
      </c>
      <c r="B5362" s="76" t="s">
        <v>10945</v>
      </c>
    </row>
    <row r="5363" spans="1:2" ht="15">
      <c r="A5363" s="77" t="s">
        <v>9033</v>
      </c>
      <c r="B5363" s="76" t="s">
        <v>10945</v>
      </c>
    </row>
    <row r="5364" spans="1:2" ht="15">
      <c r="A5364" s="77" t="s">
        <v>9034</v>
      </c>
      <c r="B5364" s="76" t="s">
        <v>10945</v>
      </c>
    </row>
    <row r="5365" spans="1:2" ht="15">
      <c r="A5365" s="77" t="s">
        <v>9035</v>
      </c>
      <c r="B5365" s="76" t="s">
        <v>10945</v>
      </c>
    </row>
    <row r="5366" spans="1:2" ht="15">
      <c r="A5366" s="77" t="s">
        <v>9036</v>
      </c>
      <c r="B5366" s="76" t="s">
        <v>10945</v>
      </c>
    </row>
    <row r="5367" spans="1:2" ht="15">
      <c r="A5367" s="77" t="s">
        <v>9037</v>
      </c>
      <c r="B5367" s="76" t="s">
        <v>10945</v>
      </c>
    </row>
    <row r="5368" spans="1:2" ht="15">
      <c r="A5368" s="77" t="s">
        <v>9038</v>
      </c>
      <c r="B5368" s="76" t="s">
        <v>10945</v>
      </c>
    </row>
    <row r="5369" spans="1:2" ht="15">
      <c r="A5369" s="77" t="s">
        <v>9039</v>
      </c>
      <c r="B5369" s="76" t="s">
        <v>10945</v>
      </c>
    </row>
    <row r="5370" spans="1:2" ht="15">
      <c r="A5370" s="77" t="s">
        <v>9040</v>
      </c>
      <c r="B5370" s="76" t="s">
        <v>10945</v>
      </c>
    </row>
    <row r="5371" spans="1:2" ht="15">
      <c r="A5371" s="77" t="s">
        <v>9041</v>
      </c>
      <c r="B5371" s="76" t="s">
        <v>10945</v>
      </c>
    </row>
    <row r="5372" spans="1:2" ht="15">
      <c r="A5372" s="77" t="s">
        <v>9042</v>
      </c>
      <c r="B5372" s="76" t="s">
        <v>10945</v>
      </c>
    </row>
    <row r="5373" spans="1:2" ht="15">
      <c r="A5373" s="77" t="s">
        <v>9043</v>
      </c>
      <c r="B5373" s="76" t="s">
        <v>10945</v>
      </c>
    </row>
    <row r="5374" spans="1:2" ht="15">
      <c r="A5374" s="77" t="s">
        <v>9044</v>
      </c>
      <c r="B5374" s="76" t="s">
        <v>10945</v>
      </c>
    </row>
    <row r="5375" spans="1:2" ht="15">
      <c r="A5375" s="77" t="s">
        <v>9045</v>
      </c>
      <c r="B5375" s="76" t="s">
        <v>10945</v>
      </c>
    </row>
    <row r="5376" spans="1:2" ht="15">
      <c r="A5376" s="77" t="s">
        <v>9046</v>
      </c>
      <c r="B5376" s="76" t="s">
        <v>10945</v>
      </c>
    </row>
    <row r="5377" spans="1:2" ht="15">
      <c r="A5377" s="77" t="s">
        <v>9047</v>
      </c>
      <c r="B5377" s="76" t="s">
        <v>10945</v>
      </c>
    </row>
    <row r="5378" spans="1:2" ht="15">
      <c r="A5378" s="77" t="s">
        <v>9048</v>
      </c>
      <c r="B5378" s="76" t="s">
        <v>10945</v>
      </c>
    </row>
    <row r="5379" spans="1:2" ht="15">
      <c r="A5379" s="77" t="s">
        <v>9049</v>
      </c>
      <c r="B5379" s="76" t="s">
        <v>10945</v>
      </c>
    </row>
    <row r="5380" spans="1:2" ht="15">
      <c r="A5380" s="77" t="s">
        <v>9050</v>
      </c>
      <c r="B5380" s="76" t="s">
        <v>10945</v>
      </c>
    </row>
    <row r="5381" spans="1:2" ht="15">
      <c r="A5381" s="77" t="s">
        <v>9051</v>
      </c>
      <c r="B5381" s="76" t="s">
        <v>10945</v>
      </c>
    </row>
    <row r="5382" spans="1:2" ht="15">
      <c r="A5382" s="77" t="s">
        <v>9052</v>
      </c>
      <c r="B5382" s="76" t="s">
        <v>10945</v>
      </c>
    </row>
    <row r="5383" spans="1:2" ht="15">
      <c r="A5383" s="77" t="s">
        <v>9053</v>
      </c>
      <c r="B5383" s="76" t="s">
        <v>10945</v>
      </c>
    </row>
    <row r="5384" spans="1:2" ht="15">
      <c r="A5384" s="77" t="s">
        <v>9054</v>
      </c>
      <c r="B5384" s="76" t="s">
        <v>10945</v>
      </c>
    </row>
    <row r="5385" spans="1:2" ht="15">
      <c r="A5385" s="77" t="s">
        <v>9055</v>
      </c>
      <c r="B5385" s="76" t="s">
        <v>10945</v>
      </c>
    </row>
    <row r="5386" spans="1:2" ht="15">
      <c r="A5386" s="77" t="s">
        <v>9056</v>
      </c>
      <c r="B5386" s="76" t="s">
        <v>10945</v>
      </c>
    </row>
    <row r="5387" spans="1:2" ht="15">
      <c r="A5387" s="77" t="s">
        <v>9057</v>
      </c>
      <c r="B5387" s="76" t="s">
        <v>10945</v>
      </c>
    </row>
    <row r="5388" spans="1:2" ht="15">
      <c r="A5388" s="77" t="s">
        <v>9058</v>
      </c>
      <c r="B5388" s="76" t="s">
        <v>10945</v>
      </c>
    </row>
    <row r="5389" spans="1:2" ht="15">
      <c r="A5389" s="77" t="s">
        <v>9059</v>
      </c>
      <c r="B5389" s="76" t="s">
        <v>10945</v>
      </c>
    </row>
    <row r="5390" spans="1:2" ht="15">
      <c r="A5390" s="77" t="s">
        <v>9060</v>
      </c>
      <c r="B5390" s="76" t="s">
        <v>10945</v>
      </c>
    </row>
    <row r="5391" spans="1:2" ht="15">
      <c r="A5391" s="77" t="s">
        <v>9061</v>
      </c>
      <c r="B5391" s="76" t="s">
        <v>10945</v>
      </c>
    </row>
    <row r="5392" spans="1:2" ht="15">
      <c r="A5392" s="77" t="s">
        <v>9062</v>
      </c>
      <c r="B5392" s="76" t="s">
        <v>10945</v>
      </c>
    </row>
    <row r="5393" spans="1:2" ht="15">
      <c r="A5393" s="77" t="s">
        <v>9063</v>
      </c>
      <c r="B5393" s="76" t="s">
        <v>10945</v>
      </c>
    </row>
    <row r="5394" spans="1:2" ht="15">
      <c r="A5394" s="77" t="s">
        <v>9064</v>
      </c>
      <c r="B5394" s="76" t="s">
        <v>10945</v>
      </c>
    </row>
    <row r="5395" spans="1:2" ht="15">
      <c r="A5395" s="77" t="s">
        <v>9065</v>
      </c>
      <c r="B5395" s="76" t="s">
        <v>10945</v>
      </c>
    </row>
    <row r="5396" spans="1:2" ht="15">
      <c r="A5396" s="77" t="s">
        <v>9066</v>
      </c>
      <c r="B5396" s="76" t="s">
        <v>10945</v>
      </c>
    </row>
    <row r="5397" spans="1:2" ht="15">
      <c r="A5397" s="77" t="s">
        <v>9067</v>
      </c>
      <c r="B5397" s="76" t="s">
        <v>10945</v>
      </c>
    </row>
    <row r="5398" spans="1:2" ht="15">
      <c r="A5398" s="77" t="s">
        <v>9068</v>
      </c>
      <c r="B5398" s="76" t="s">
        <v>10945</v>
      </c>
    </row>
    <row r="5399" spans="1:2" ht="15">
      <c r="A5399" s="77" t="s">
        <v>9069</v>
      </c>
      <c r="B5399" s="76" t="s">
        <v>10945</v>
      </c>
    </row>
    <row r="5400" spans="1:2" ht="15">
      <c r="A5400" s="77" t="s">
        <v>9070</v>
      </c>
      <c r="B5400" s="76" t="s">
        <v>10945</v>
      </c>
    </row>
    <row r="5401" spans="1:2" ht="15">
      <c r="A5401" s="77" t="s">
        <v>9071</v>
      </c>
      <c r="B5401" s="76" t="s">
        <v>10945</v>
      </c>
    </row>
    <row r="5402" spans="1:2" ht="15">
      <c r="A5402" s="77" t="s">
        <v>9072</v>
      </c>
      <c r="B5402" s="76" t="s">
        <v>10945</v>
      </c>
    </row>
    <row r="5403" spans="1:2" ht="15">
      <c r="A5403" s="77" t="s">
        <v>9073</v>
      </c>
      <c r="B5403" s="76" t="s">
        <v>10945</v>
      </c>
    </row>
    <row r="5404" spans="1:2" ht="15">
      <c r="A5404" s="77" t="s">
        <v>9074</v>
      </c>
      <c r="B5404" s="76" t="s">
        <v>10945</v>
      </c>
    </row>
    <row r="5405" spans="1:2" ht="15">
      <c r="A5405" s="77" t="s">
        <v>9075</v>
      </c>
      <c r="B5405" s="76" t="s">
        <v>10945</v>
      </c>
    </row>
    <row r="5406" spans="1:2" ht="15">
      <c r="A5406" s="77" t="s">
        <v>9076</v>
      </c>
      <c r="B5406" s="76" t="s">
        <v>10945</v>
      </c>
    </row>
    <row r="5407" spans="1:2" ht="15">
      <c r="A5407" s="77" t="s">
        <v>9077</v>
      </c>
      <c r="B5407" s="76" t="s">
        <v>10945</v>
      </c>
    </row>
    <row r="5408" spans="1:2" ht="15">
      <c r="A5408" s="77" t="s">
        <v>9078</v>
      </c>
      <c r="B5408" s="76" t="s">
        <v>10945</v>
      </c>
    </row>
    <row r="5409" spans="1:2" ht="15">
      <c r="A5409" s="77" t="s">
        <v>9079</v>
      </c>
      <c r="B5409" s="76" t="s">
        <v>10945</v>
      </c>
    </row>
    <row r="5410" spans="1:2" ht="15">
      <c r="A5410" s="77" t="s">
        <v>9080</v>
      </c>
      <c r="B5410" s="76" t="s">
        <v>10945</v>
      </c>
    </row>
    <row r="5411" spans="1:2" ht="15">
      <c r="A5411" s="77" t="s">
        <v>9081</v>
      </c>
      <c r="B5411" s="76" t="s">
        <v>10945</v>
      </c>
    </row>
    <row r="5412" spans="1:2" ht="15">
      <c r="A5412" s="77" t="s">
        <v>9082</v>
      </c>
      <c r="B5412" s="76" t="s">
        <v>10945</v>
      </c>
    </row>
    <row r="5413" spans="1:2" ht="15">
      <c r="A5413" s="77" t="s">
        <v>9083</v>
      </c>
      <c r="B5413" s="76" t="s">
        <v>10945</v>
      </c>
    </row>
    <row r="5414" spans="1:2" ht="15">
      <c r="A5414" s="77" t="s">
        <v>9084</v>
      </c>
      <c r="B5414" s="76" t="s">
        <v>10945</v>
      </c>
    </row>
    <row r="5415" spans="1:2" ht="15">
      <c r="A5415" s="77" t="s">
        <v>9085</v>
      </c>
      <c r="B5415" s="76" t="s">
        <v>10945</v>
      </c>
    </row>
    <row r="5416" spans="1:2" ht="15">
      <c r="A5416" s="77" t="s">
        <v>9086</v>
      </c>
      <c r="B5416" s="76" t="s">
        <v>10945</v>
      </c>
    </row>
    <row r="5417" spans="1:2" ht="15">
      <c r="A5417" s="77" t="s">
        <v>9087</v>
      </c>
      <c r="B5417" s="76" t="s">
        <v>10945</v>
      </c>
    </row>
    <row r="5418" spans="1:2" ht="15">
      <c r="A5418" s="77" t="s">
        <v>9088</v>
      </c>
      <c r="B5418" s="76" t="s">
        <v>10945</v>
      </c>
    </row>
    <row r="5419" spans="1:2" ht="15">
      <c r="A5419" s="77" t="s">
        <v>9089</v>
      </c>
      <c r="B5419" s="76" t="s">
        <v>10945</v>
      </c>
    </row>
    <row r="5420" spans="1:2" ht="15">
      <c r="A5420" s="77" t="s">
        <v>9090</v>
      </c>
      <c r="B5420" s="76" t="s">
        <v>10945</v>
      </c>
    </row>
    <row r="5421" spans="1:2" ht="15">
      <c r="A5421" s="77" t="s">
        <v>9091</v>
      </c>
      <c r="B5421" s="76" t="s">
        <v>10945</v>
      </c>
    </row>
    <row r="5422" spans="1:2" ht="15">
      <c r="A5422" s="77" t="s">
        <v>9092</v>
      </c>
      <c r="B5422" s="76" t="s">
        <v>10945</v>
      </c>
    </row>
    <row r="5423" spans="1:2" ht="15">
      <c r="A5423" s="77" t="s">
        <v>9093</v>
      </c>
      <c r="B5423" s="76" t="s">
        <v>10945</v>
      </c>
    </row>
    <row r="5424" spans="1:2" ht="15">
      <c r="A5424" s="77" t="s">
        <v>9094</v>
      </c>
      <c r="B5424" s="76" t="s">
        <v>10945</v>
      </c>
    </row>
    <row r="5425" spans="1:2" ht="15">
      <c r="A5425" s="77" t="s">
        <v>9095</v>
      </c>
      <c r="B5425" s="76" t="s">
        <v>10945</v>
      </c>
    </row>
    <row r="5426" spans="1:2" ht="15">
      <c r="A5426" s="77" t="s">
        <v>9096</v>
      </c>
      <c r="B5426" s="76" t="s">
        <v>10945</v>
      </c>
    </row>
    <row r="5427" spans="1:2" ht="15">
      <c r="A5427" s="77" t="s">
        <v>9097</v>
      </c>
      <c r="B5427" s="76" t="s">
        <v>10945</v>
      </c>
    </row>
    <row r="5428" spans="1:2" ht="15">
      <c r="A5428" s="77" t="s">
        <v>9098</v>
      </c>
      <c r="B5428" s="76" t="s">
        <v>10945</v>
      </c>
    </row>
    <row r="5429" spans="1:2" ht="15">
      <c r="A5429" s="77" t="s">
        <v>9099</v>
      </c>
      <c r="B5429" s="76" t="s">
        <v>10945</v>
      </c>
    </row>
    <row r="5430" spans="1:2" ht="15">
      <c r="A5430" s="77" t="s">
        <v>9100</v>
      </c>
      <c r="B5430" s="76" t="s">
        <v>10945</v>
      </c>
    </row>
    <row r="5431" spans="1:2" ht="15">
      <c r="A5431" s="77" t="s">
        <v>9101</v>
      </c>
      <c r="B5431" s="76" t="s">
        <v>10945</v>
      </c>
    </row>
    <row r="5432" spans="1:2" ht="15">
      <c r="A5432" s="77" t="s">
        <v>9102</v>
      </c>
      <c r="B5432" s="76" t="s">
        <v>10945</v>
      </c>
    </row>
    <row r="5433" spans="1:2" ht="15">
      <c r="A5433" s="77" t="s">
        <v>9103</v>
      </c>
      <c r="B5433" s="76" t="s">
        <v>10945</v>
      </c>
    </row>
    <row r="5434" spans="1:2" ht="15">
      <c r="A5434" s="77" t="s">
        <v>9104</v>
      </c>
      <c r="B5434" s="76" t="s">
        <v>10945</v>
      </c>
    </row>
    <row r="5435" spans="1:2" ht="15">
      <c r="A5435" s="77" t="s">
        <v>9105</v>
      </c>
      <c r="B5435" s="76" t="s">
        <v>10945</v>
      </c>
    </row>
    <row r="5436" spans="1:2" ht="15">
      <c r="A5436" s="77" t="s">
        <v>9106</v>
      </c>
      <c r="B5436" s="76" t="s">
        <v>10945</v>
      </c>
    </row>
    <row r="5437" spans="1:2" ht="15">
      <c r="A5437" s="77" t="s">
        <v>9107</v>
      </c>
      <c r="B5437" s="76" t="s">
        <v>10945</v>
      </c>
    </row>
    <row r="5438" spans="1:2" ht="15">
      <c r="A5438" s="77" t="s">
        <v>9108</v>
      </c>
      <c r="B5438" s="76" t="s">
        <v>10945</v>
      </c>
    </row>
    <row r="5439" spans="1:2" ht="15">
      <c r="A5439" s="77" t="s">
        <v>9109</v>
      </c>
      <c r="B5439" s="76" t="s">
        <v>10945</v>
      </c>
    </row>
    <row r="5440" spans="1:2" ht="15">
      <c r="A5440" s="77" t="s">
        <v>9110</v>
      </c>
      <c r="B5440" s="76" t="s">
        <v>10945</v>
      </c>
    </row>
    <row r="5441" spans="1:2" ht="15">
      <c r="A5441" s="77" t="s">
        <v>9111</v>
      </c>
      <c r="B5441" s="76" t="s">
        <v>10945</v>
      </c>
    </row>
    <row r="5442" spans="1:2" ht="15">
      <c r="A5442" s="77" t="s">
        <v>9112</v>
      </c>
      <c r="B5442" s="76" t="s">
        <v>10945</v>
      </c>
    </row>
    <row r="5443" spans="1:2" ht="15">
      <c r="A5443" s="77" t="s">
        <v>9113</v>
      </c>
      <c r="B5443" s="76" t="s">
        <v>10945</v>
      </c>
    </row>
    <row r="5444" spans="1:2" ht="15">
      <c r="A5444" s="77" t="s">
        <v>9114</v>
      </c>
      <c r="B5444" s="76" t="s">
        <v>10945</v>
      </c>
    </row>
    <row r="5445" spans="1:2" ht="15">
      <c r="A5445" s="77" t="s">
        <v>9115</v>
      </c>
      <c r="B5445" s="76" t="s">
        <v>10945</v>
      </c>
    </row>
    <row r="5446" spans="1:2" ht="15">
      <c r="A5446" s="77" t="s">
        <v>2976</v>
      </c>
      <c r="B5446" s="76" t="s">
        <v>10945</v>
      </c>
    </row>
    <row r="5447" spans="1:2" ht="15">
      <c r="A5447" s="77" t="s">
        <v>9116</v>
      </c>
      <c r="B5447" s="76" t="s">
        <v>10945</v>
      </c>
    </row>
    <row r="5448" spans="1:2" ht="15">
      <c r="A5448" s="77" t="s">
        <v>9117</v>
      </c>
      <c r="B5448" s="76" t="s">
        <v>10945</v>
      </c>
    </row>
    <row r="5449" spans="1:2" ht="15">
      <c r="A5449" s="77" t="s">
        <v>9118</v>
      </c>
      <c r="B5449" s="76" t="s">
        <v>10945</v>
      </c>
    </row>
    <row r="5450" spans="1:2" ht="15">
      <c r="A5450" s="77" t="s">
        <v>9119</v>
      </c>
      <c r="B5450" s="76" t="s">
        <v>10945</v>
      </c>
    </row>
    <row r="5451" spans="1:2" ht="15">
      <c r="A5451" s="77" t="s">
        <v>9120</v>
      </c>
      <c r="B5451" s="76" t="s">
        <v>10945</v>
      </c>
    </row>
    <row r="5452" spans="1:2" ht="15">
      <c r="A5452" s="77" t="s">
        <v>3202</v>
      </c>
      <c r="B5452" s="76" t="s">
        <v>10945</v>
      </c>
    </row>
    <row r="5453" spans="1:2" ht="15">
      <c r="A5453" s="77" t="s">
        <v>9121</v>
      </c>
      <c r="B5453" s="76" t="s">
        <v>10945</v>
      </c>
    </row>
    <row r="5454" spans="1:2" ht="15">
      <c r="A5454" s="77" t="s">
        <v>9122</v>
      </c>
      <c r="B5454" s="76" t="s">
        <v>10945</v>
      </c>
    </row>
    <row r="5455" spans="1:2" ht="15">
      <c r="A5455" s="77" t="s">
        <v>9123</v>
      </c>
      <c r="B5455" s="76" t="s">
        <v>10945</v>
      </c>
    </row>
    <row r="5456" spans="1:2" ht="15">
      <c r="A5456" s="77" t="s">
        <v>9124</v>
      </c>
      <c r="B5456" s="76" t="s">
        <v>10945</v>
      </c>
    </row>
    <row r="5457" spans="1:2" ht="15">
      <c r="A5457" s="77" t="s">
        <v>9125</v>
      </c>
      <c r="B5457" s="76" t="s">
        <v>10945</v>
      </c>
    </row>
    <row r="5458" spans="1:2" ht="15">
      <c r="A5458" s="77" t="s">
        <v>9126</v>
      </c>
      <c r="B5458" s="76" t="s">
        <v>10945</v>
      </c>
    </row>
    <row r="5459" spans="1:2" ht="15">
      <c r="A5459" s="77" t="s">
        <v>9127</v>
      </c>
      <c r="B5459" s="76" t="s">
        <v>10945</v>
      </c>
    </row>
    <row r="5460" spans="1:2" ht="15">
      <c r="A5460" s="77" t="s">
        <v>9128</v>
      </c>
      <c r="B5460" s="76" t="s">
        <v>10945</v>
      </c>
    </row>
    <row r="5461" spans="1:2" ht="15">
      <c r="A5461" s="77" t="s">
        <v>9129</v>
      </c>
      <c r="B5461" s="76" t="s">
        <v>10945</v>
      </c>
    </row>
    <row r="5462" spans="1:2" ht="15">
      <c r="A5462" s="77" t="s">
        <v>9130</v>
      </c>
      <c r="B5462" s="76" t="s">
        <v>10945</v>
      </c>
    </row>
    <row r="5463" spans="1:2" ht="15">
      <c r="A5463" s="77" t="s">
        <v>9131</v>
      </c>
      <c r="B5463" s="76" t="s">
        <v>10945</v>
      </c>
    </row>
    <row r="5464" spans="1:2" ht="15">
      <c r="A5464" s="77" t="s">
        <v>9132</v>
      </c>
      <c r="B5464" s="76" t="s">
        <v>10945</v>
      </c>
    </row>
    <row r="5465" spans="1:2" ht="15">
      <c r="A5465" s="77" t="s">
        <v>9133</v>
      </c>
      <c r="B5465" s="76" t="s">
        <v>10945</v>
      </c>
    </row>
    <row r="5466" spans="1:2" ht="15">
      <c r="A5466" s="77" t="s">
        <v>9134</v>
      </c>
      <c r="B5466" s="76" t="s">
        <v>10945</v>
      </c>
    </row>
    <row r="5467" spans="1:2" ht="15">
      <c r="A5467" s="77" t="s">
        <v>9135</v>
      </c>
      <c r="B5467" s="76" t="s">
        <v>10945</v>
      </c>
    </row>
    <row r="5468" spans="1:2" ht="15">
      <c r="A5468" s="77" t="s">
        <v>9136</v>
      </c>
      <c r="B5468" s="76" t="s">
        <v>10945</v>
      </c>
    </row>
    <row r="5469" spans="1:2" ht="15">
      <c r="A5469" s="77" t="s">
        <v>9137</v>
      </c>
      <c r="B5469" s="76" t="s">
        <v>10945</v>
      </c>
    </row>
    <row r="5470" spans="1:2" ht="15">
      <c r="A5470" s="77" t="s">
        <v>9138</v>
      </c>
      <c r="B5470" s="76" t="s">
        <v>10945</v>
      </c>
    </row>
    <row r="5471" spans="1:2" ht="15">
      <c r="A5471" s="77" t="s">
        <v>9139</v>
      </c>
      <c r="B5471" s="76" t="s">
        <v>10945</v>
      </c>
    </row>
    <row r="5472" spans="1:2" ht="15">
      <c r="A5472" s="77" t="s">
        <v>9140</v>
      </c>
      <c r="B5472" s="76" t="s">
        <v>10945</v>
      </c>
    </row>
    <row r="5473" spans="1:2" ht="15">
      <c r="A5473" s="77" t="s">
        <v>9141</v>
      </c>
      <c r="B5473" s="76" t="s">
        <v>10945</v>
      </c>
    </row>
    <row r="5474" spans="1:2" ht="15">
      <c r="A5474" s="77" t="s">
        <v>9142</v>
      </c>
      <c r="B5474" s="76" t="s">
        <v>10945</v>
      </c>
    </row>
    <row r="5475" spans="1:2" ht="15">
      <c r="A5475" s="77" t="s">
        <v>9143</v>
      </c>
      <c r="B5475" s="76" t="s">
        <v>10945</v>
      </c>
    </row>
    <row r="5476" spans="1:2" ht="15">
      <c r="A5476" s="77" t="s">
        <v>9144</v>
      </c>
      <c r="B5476" s="76" t="s">
        <v>10945</v>
      </c>
    </row>
    <row r="5477" spans="1:2" ht="15">
      <c r="A5477" s="77" t="s">
        <v>9145</v>
      </c>
      <c r="B5477" s="76" t="s">
        <v>10945</v>
      </c>
    </row>
    <row r="5478" spans="1:2" ht="15">
      <c r="A5478" s="77" t="s">
        <v>9146</v>
      </c>
      <c r="B5478" s="76" t="s">
        <v>10945</v>
      </c>
    </row>
    <row r="5479" spans="1:2" ht="15">
      <c r="A5479" s="77" t="s">
        <v>9147</v>
      </c>
      <c r="B5479" s="76" t="s">
        <v>10945</v>
      </c>
    </row>
    <row r="5480" spans="1:2" ht="15">
      <c r="A5480" s="77" t="s">
        <v>3698</v>
      </c>
      <c r="B5480" s="76" t="s">
        <v>10945</v>
      </c>
    </row>
    <row r="5481" spans="1:2" ht="15">
      <c r="A5481" s="77" t="s">
        <v>9148</v>
      </c>
      <c r="B5481" s="76" t="s">
        <v>10945</v>
      </c>
    </row>
    <row r="5482" spans="1:2" ht="15">
      <c r="A5482" s="77" t="s">
        <v>9149</v>
      </c>
      <c r="B5482" s="76" t="s">
        <v>10945</v>
      </c>
    </row>
    <row r="5483" spans="1:2" ht="15">
      <c r="A5483" s="77" t="s">
        <v>9150</v>
      </c>
      <c r="B5483" s="76" t="s">
        <v>10945</v>
      </c>
    </row>
    <row r="5484" spans="1:2" ht="15">
      <c r="A5484" s="77" t="s">
        <v>9151</v>
      </c>
      <c r="B5484" s="76" t="s">
        <v>10945</v>
      </c>
    </row>
    <row r="5485" spans="1:2" ht="15">
      <c r="A5485" s="77" t="s">
        <v>9152</v>
      </c>
      <c r="B5485" s="76" t="s">
        <v>10945</v>
      </c>
    </row>
    <row r="5486" spans="1:2" ht="15">
      <c r="A5486" s="77" t="s">
        <v>9153</v>
      </c>
      <c r="B5486" s="76" t="s">
        <v>10945</v>
      </c>
    </row>
    <row r="5487" spans="1:2" ht="15">
      <c r="A5487" s="77" t="s">
        <v>9154</v>
      </c>
      <c r="B5487" s="76" t="s">
        <v>10945</v>
      </c>
    </row>
    <row r="5488" spans="1:2" ht="15">
      <c r="A5488" s="77" t="s">
        <v>9155</v>
      </c>
      <c r="B5488" s="76" t="s">
        <v>10945</v>
      </c>
    </row>
    <row r="5489" spans="1:2" ht="15">
      <c r="A5489" s="77" t="s">
        <v>9156</v>
      </c>
      <c r="B5489" s="76" t="s">
        <v>10945</v>
      </c>
    </row>
    <row r="5490" spans="1:2" ht="15">
      <c r="A5490" s="77" t="s">
        <v>9157</v>
      </c>
      <c r="B5490" s="76" t="s">
        <v>10945</v>
      </c>
    </row>
    <row r="5491" spans="1:2" ht="15">
      <c r="A5491" s="77" t="s">
        <v>9158</v>
      </c>
      <c r="B5491" s="76" t="s">
        <v>10945</v>
      </c>
    </row>
    <row r="5492" spans="1:2" ht="15">
      <c r="A5492" s="77" t="s">
        <v>9159</v>
      </c>
      <c r="B5492" s="76" t="s">
        <v>10945</v>
      </c>
    </row>
    <row r="5493" spans="1:2" ht="15">
      <c r="A5493" s="77" t="s">
        <v>9160</v>
      </c>
      <c r="B5493" s="76" t="s">
        <v>10945</v>
      </c>
    </row>
    <row r="5494" spans="1:2" ht="15">
      <c r="A5494" s="77" t="s">
        <v>9161</v>
      </c>
      <c r="B5494" s="76" t="s">
        <v>10945</v>
      </c>
    </row>
    <row r="5495" spans="1:2" ht="15">
      <c r="A5495" s="77" t="s">
        <v>9162</v>
      </c>
      <c r="B5495" s="76" t="s">
        <v>10945</v>
      </c>
    </row>
    <row r="5496" spans="1:2" ht="15">
      <c r="A5496" s="77" t="s">
        <v>9163</v>
      </c>
      <c r="B5496" s="76" t="s">
        <v>10945</v>
      </c>
    </row>
    <row r="5497" spans="1:2" ht="15">
      <c r="A5497" s="77" t="s">
        <v>9164</v>
      </c>
      <c r="B5497" s="76" t="s">
        <v>10945</v>
      </c>
    </row>
    <row r="5498" spans="1:2" ht="15">
      <c r="A5498" s="77" t="s">
        <v>9165</v>
      </c>
      <c r="B5498" s="76" t="s">
        <v>10945</v>
      </c>
    </row>
    <row r="5499" spans="1:2" ht="15">
      <c r="A5499" s="77" t="s">
        <v>9166</v>
      </c>
      <c r="B5499" s="76" t="s">
        <v>10945</v>
      </c>
    </row>
    <row r="5500" spans="1:2" ht="15">
      <c r="A5500" s="77" t="s">
        <v>9167</v>
      </c>
      <c r="B5500" s="76" t="s">
        <v>10945</v>
      </c>
    </row>
    <row r="5501" spans="1:2" ht="15">
      <c r="A5501" s="77" t="s">
        <v>9168</v>
      </c>
      <c r="B5501" s="76" t="s">
        <v>10945</v>
      </c>
    </row>
    <row r="5502" spans="1:2" ht="15">
      <c r="A5502" s="77" t="s">
        <v>9169</v>
      </c>
      <c r="B5502" s="76" t="s">
        <v>10945</v>
      </c>
    </row>
    <row r="5503" spans="1:2" ht="15">
      <c r="A5503" s="77" t="s">
        <v>9170</v>
      </c>
      <c r="B5503" s="76" t="s">
        <v>10945</v>
      </c>
    </row>
    <row r="5504" spans="1:2" ht="15">
      <c r="A5504" s="77" t="s">
        <v>9171</v>
      </c>
      <c r="B5504" s="76" t="s">
        <v>10945</v>
      </c>
    </row>
    <row r="5505" spans="1:2" ht="15">
      <c r="A5505" s="77" t="s">
        <v>9172</v>
      </c>
      <c r="B5505" s="76" t="s">
        <v>10945</v>
      </c>
    </row>
    <row r="5506" spans="1:2" ht="15">
      <c r="A5506" s="77" t="s">
        <v>9173</v>
      </c>
      <c r="B5506" s="76" t="s">
        <v>10945</v>
      </c>
    </row>
    <row r="5507" spans="1:2" ht="15">
      <c r="A5507" s="77" t="s">
        <v>9174</v>
      </c>
      <c r="B5507" s="76" t="s">
        <v>10945</v>
      </c>
    </row>
    <row r="5508" spans="1:2" ht="15">
      <c r="A5508" s="77" t="s">
        <v>9175</v>
      </c>
      <c r="B5508" s="76" t="s">
        <v>10945</v>
      </c>
    </row>
    <row r="5509" spans="1:2" ht="15">
      <c r="A5509" s="77" t="s">
        <v>9176</v>
      </c>
      <c r="B5509" s="76" t="s">
        <v>10945</v>
      </c>
    </row>
    <row r="5510" spans="1:2" ht="15">
      <c r="A5510" s="77" t="s">
        <v>9177</v>
      </c>
      <c r="B5510" s="76" t="s">
        <v>10945</v>
      </c>
    </row>
    <row r="5511" spans="1:2" ht="15">
      <c r="A5511" s="77" t="s">
        <v>9178</v>
      </c>
      <c r="B5511" s="76" t="s">
        <v>10945</v>
      </c>
    </row>
    <row r="5512" spans="1:2" ht="15">
      <c r="A5512" s="77" t="s">
        <v>3522</v>
      </c>
      <c r="B5512" s="76" t="s">
        <v>10945</v>
      </c>
    </row>
    <row r="5513" spans="1:2" ht="15">
      <c r="A5513" s="77" t="s">
        <v>9179</v>
      </c>
      <c r="B5513" s="76" t="s">
        <v>10945</v>
      </c>
    </row>
    <row r="5514" spans="1:2" ht="15">
      <c r="A5514" s="77" t="s">
        <v>9180</v>
      </c>
      <c r="B5514" s="76" t="s">
        <v>10945</v>
      </c>
    </row>
    <row r="5515" spans="1:2" ht="15">
      <c r="A5515" s="77" t="s">
        <v>9181</v>
      </c>
      <c r="B5515" s="76" t="s">
        <v>10945</v>
      </c>
    </row>
    <row r="5516" spans="1:2" ht="15">
      <c r="A5516" s="77" t="s">
        <v>9182</v>
      </c>
      <c r="B5516" s="76" t="s">
        <v>10945</v>
      </c>
    </row>
    <row r="5517" spans="1:2" ht="15">
      <c r="A5517" s="77" t="s">
        <v>9183</v>
      </c>
      <c r="B5517" s="76" t="s">
        <v>10945</v>
      </c>
    </row>
    <row r="5518" spans="1:2" ht="15">
      <c r="A5518" s="77" t="s">
        <v>9184</v>
      </c>
      <c r="B5518" s="76" t="s">
        <v>10945</v>
      </c>
    </row>
    <row r="5519" spans="1:2" ht="15">
      <c r="A5519" s="77" t="s">
        <v>9185</v>
      </c>
      <c r="B5519" s="76" t="s">
        <v>10945</v>
      </c>
    </row>
    <row r="5520" spans="1:2" ht="15">
      <c r="A5520" s="77" t="s">
        <v>9186</v>
      </c>
      <c r="B5520" s="76" t="s">
        <v>10945</v>
      </c>
    </row>
    <row r="5521" spans="1:2" ht="15">
      <c r="A5521" s="77" t="s">
        <v>9187</v>
      </c>
      <c r="B5521" s="76" t="s">
        <v>10945</v>
      </c>
    </row>
    <row r="5522" spans="1:2" ht="15">
      <c r="A5522" s="77" t="s">
        <v>9188</v>
      </c>
      <c r="B5522" s="76" t="s">
        <v>10945</v>
      </c>
    </row>
    <row r="5523" spans="1:2" ht="15">
      <c r="A5523" s="77" t="s">
        <v>9189</v>
      </c>
      <c r="B5523" s="76" t="s">
        <v>10945</v>
      </c>
    </row>
    <row r="5524" spans="1:2" ht="15">
      <c r="A5524" s="77" t="s">
        <v>9190</v>
      </c>
      <c r="B5524" s="76" t="s">
        <v>10945</v>
      </c>
    </row>
    <row r="5525" spans="1:2" ht="15">
      <c r="A5525" s="77" t="s">
        <v>9191</v>
      </c>
      <c r="B5525" s="76" t="s">
        <v>10945</v>
      </c>
    </row>
    <row r="5526" spans="1:2" ht="15">
      <c r="A5526" s="77" t="s">
        <v>9192</v>
      </c>
      <c r="B5526" s="76" t="s">
        <v>10945</v>
      </c>
    </row>
    <row r="5527" spans="1:2" ht="15">
      <c r="A5527" s="77" t="s">
        <v>9193</v>
      </c>
      <c r="B5527" s="76" t="s">
        <v>10945</v>
      </c>
    </row>
    <row r="5528" spans="1:2" ht="15">
      <c r="A5528" s="77" t="s">
        <v>9194</v>
      </c>
      <c r="B5528" s="76" t="s">
        <v>10945</v>
      </c>
    </row>
    <row r="5529" spans="1:2" ht="15">
      <c r="A5529" s="77" t="s">
        <v>9195</v>
      </c>
      <c r="B5529" s="76" t="s">
        <v>10945</v>
      </c>
    </row>
    <row r="5530" spans="1:2" ht="15">
      <c r="A5530" s="77" t="s">
        <v>9196</v>
      </c>
      <c r="B5530" s="76" t="s">
        <v>10945</v>
      </c>
    </row>
    <row r="5531" spans="1:2" ht="15">
      <c r="A5531" s="77" t="s">
        <v>9197</v>
      </c>
      <c r="B5531" s="76" t="s">
        <v>10945</v>
      </c>
    </row>
    <row r="5532" spans="1:2" ht="15">
      <c r="A5532" s="77" t="s">
        <v>9198</v>
      </c>
      <c r="B5532" s="76" t="s">
        <v>10945</v>
      </c>
    </row>
    <row r="5533" spans="1:2" ht="15">
      <c r="A5533" s="77" t="s">
        <v>9199</v>
      </c>
      <c r="B5533" s="76" t="s">
        <v>10945</v>
      </c>
    </row>
    <row r="5534" spans="1:2" ht="15">
      <c r="A5534" s="77" t="s">
        <v>9200</v>
      </c>
      <c r="B5534" s="76" t="s">
        <v>10945</v>
      </c>
    </row>
    <row r="5535" spans="1:2" ht="15">
      <c r="A5535" s="77" t="s">
        <v>9201</v>
      </c>
      <c r="B5535" s="76" t="s">
        <v>10945</v>
      </c>
    </row>
    <row r="5536" spans="1:2" ht="15">
      <c r="A5536" s="77" t="s">
        <v>9202</v>
      </c>
      <c r="B5536" s="76" t="s">
        <v>10945</v>
      </c>
    </row>
    <row r="5537" spans="1:2" ht="15">
      <c r="A5537" s="77" t="s">
        <v>9203</v>
      </c>
      <c r="B5537" s="76" t="s">
        <v>10945</v>
      </c>
    </row>
    <row r="5538" spans="1:2" ht="15">
      <c r="A5538" s="77" t="s">
        <v>9204</v>
      </c>
      <c r="B5538" s="76" t="s">
        <v>10945</v>
      </c>
    </row>
    <row r="5539" spans="1:2" ht="15">
      <c r="A5539" s="77" t="s">
        <v>9205</v>
      </c>
      <c r="B5539" s="76" t="s">
        <v>10945</v>
      </c>
    </row>
    <row r="5540" spans="1:2" ht="15">
      <c r="A5540" s="77" t="s">
        <v>9206</v>
      </c>
      <c r="B5540" s="76" t="s">
        <v>10945</v>
      </c>
    </row>
    <row r="5541" spans="1:2" ht="15">
      <c r="A5541" s="77" t="s">
        <v>9207</v>
      </c>
      <c r="B5541" s="76" t="s">
        <v>10945</v>
      </c>
    </row>
    <row r="5542" spans="1:2" ht="15">
      <c r="A5542" s="77" t="s">
        <v>9208</v>
      </c>
      <c r="B5542" s="76" t="s">
        <v>10945</v>
      </c>
    </row>
    <row r="5543" spans="1:2" ht="15">
      <c r="A5543" s="77" t="s">
        <v>9209</v>
      </c>
      <c r="B5543" s="76" t="s">
        <v>10945</v>
      </c>
    </row>
    <row r="5544" spans="1:2" ht="15">
      <c r="A5544" s="77" t="s">
        <v>9210</v>
      </c>
      <c r="B5544" s="76" t="s">
        <v>10945</v>
      </c>
    </row>
    <row r="5545" spans="1:2" ht="15">
      <c r="A5545" s="77" t="s">
        <v>9211</v>
      </c>
      <c r="B5545" s="76" t="s">
        <v>10945</v>
      </c>
    </row>
    <row r="5546" spans="1:2" ht="15">
      <c r="A5546" s="77" t="s">
        <v>9212</v>
      </c>
      <c r="B5546" s="76" t="s">
        <v>10945</v>
      </c>
    </row>
    <row r="5547" spans="1:2" ht="15">
      <c r="A5547" s="77" t="s">
        <v>9213</v>
      </c>
      <c r="B5547" s="76" t="s">
        <v>10945</v>
      </c>
    </row>
    <row r="5548" spans="1:2" ht="15">
      <c r="A5548" s="77" t="s">
        <v>9214</v>
      </c>
      <c r="B5548" s="76" t="s">
        <v>10945</v>
      </c>
    </row>
    <row r="5549" spans="1:2" ht="15">
      <c r="A5549" s="77" t="s">
        <v>9215</v>
      </c>
      <c r="B5549" s="76" t="s">
        <v>10945</v>
      </c>
    </row>
    <row r="5550" spans="1:2" ht="15">
      <c r="A5550" s="77" t="s">
        <v>9216</v>
      </c>
      <c r="B5550" s="76" t="s">
        <v>10945</v>
      </c>
    </row>
    <row r="5551" spans="1:2" ht="15">
      <c r="A5551" s="77" t="s">
        <v>9217</v>
      </c>
      <c r="B5551" s="76" t="s">
        <v>10945</v>
      </c>
    </row>
    <row r="5552" spans="1:2" ht="15">
      <c r="A5552" s="77" t="s">
        <v>9218</v>
      </c>
      <c r="B5552" s="76" t="s">
        <v>10945</v>
      </c>
    </row>
    <row r="5553" spans="1:2" ht="15">
      <c r="A5553" s="77" t="s">
        <v>9219</v>
      </c>
      <c r="B5553" s="76" t="s">
        <v>10945</v>
      </c>
    </row>
    <row r="5554" spans="1:2" ht="15">
      <c r="A5554" s="77" t="s">
        <v>9220</v>
      </c>
      <c r="B5554" s="76" t="s">
        <v>10945</v>
      </c>
    </row>
    <row r="5555" spans="1:2" ht="15">
      <c r="A5555" s="77" t="s">
        <v>9221</v>
      </c>
      <c r="B5555" s="76" t="s">
        <v>10945</v>
      </c>
    </row>
    <row r="5556" spans="1:2" ht="15">
      <c r="A5556" s="77" t="s">
        <v>9222</v>
      </c>
      <c r="B5556" s="76" t="s">
        <v>10945</v>
      </c>
    </row>
    <row r="5557" spans="1:2" ht="15">
      <c r="A5557" s="77" t="s">
        <v>9223</v>
      </c>
      <c r="B5557" s="76" t="s">
        <v>10945</v>
      </c>
    </row>
    <row r="5558" spans="1:2" ht="15">
      <c r="A5558" s="77" t="s">
        <v>9224</v>
      </c>
      <c r="B5558" s="76" t="s">
        <v>10945</v>
      </c>
    </row>
    <row r="5559" spans="1:2" ht="15">
      <c r="A5559" s="77" t="s">
        <v>9225</v>
      </c>
      <c r="B5559" s="76" t="s">
        <v>10945</v>
      </c>
    </row>
    <row r="5560" spans="1:2" ht="15">
      <c r="A5560" s="77" t="s">
        <v>9226</v>
      </c>
      <c r="B5560" s="76" t="s">
        <v>10945</v>
      </c>
    </row>
    <row r="5561" spans="1:2" ht="15">
      <c r="A5561" s="77" t="s">
        <v>9227</v>
      </c>
      <c r="B5561" s="76" t="s">
        <v>10945</v>
      </c>
    </row>
    <row r="5562" spans="1:2" ht="15">
      <c r="A5562" s="77" t="s">
        <v>9228</v>
      </c>
      <c r="B5562" s="76" t="s">
        <v>10945</v>
      </c>
    </row>
    <row r="5563" spans="1:2" ht="15">
      <c r="A5563" s="77" t="s">
        <v>9229</v>
      </c>
      <c r="B5563" s="76" t="s">
        <v>10945</v>
      </c>
    </row>
    <row r="5564" spans="1:2" ht="15">
      <c r="A5564" s="77" t="s">
        <v>9230</v>
      </c>
      <c r="B5564" s="76" t="s">
        <v>10945</v>
      </c>
    </row>
    <row r="5565" spans="1:2" ht="15">
      <c r="A5565" s="77" t="s">
        <v>9231</v>
      </c>
      <c r="B5565" s="76" t="s">
        <v>10945</v>
      </c>
    </row>
    <row r="5566" spans="1:2" ht="15">
      <c r="A5566" s="77" t="s">
        <v>9232</v>
      </c>
      <c r="B5566" s="76" t="s">
        <v>10945</v>
      </c>
    </row>
    <row r="5567" spans="1:2" ht="15">
      <c r="A5567" s="77" t="s">
        <v>9233</v>
      </c>
      <c r="B5567" s="76" t="s">
        <v>10945</v>
      </c>
    </row>
    <row r="5568" spans="1:2" ht="15">
      <c r="A5568" s="77" t="s">
        <v>9234</v>
      </c>
      <c r="B5568" s="76" t="s">
        <v>10945</v>
      </c>
    </row>
    <row r="5569" spans="1:2" ht="15">
      <c r="A5569" s="77" t="s">
        <v>9235</v>
      </c>
      <c r="B5569" s="76" t="s">
        <v>10945</v>
      </c>
    </row>
    <row r="5570" spans="1:2" ht="15">
      <c r="A5570" s="77" t="s">
        <v>9236</v>
      </c>
      <c r="B5570" s="76" t="s">
        <v>10945</v>
      </c>
    </row>
    <row r="5571" spans="1:2" ht="15">
      <c r="A5571" s="77" t="s">
        <v>9237</v>
      </c>
      <c r="B5571" s="76" t="s">
        <v>10945</v>
      </c>
    </row>
    <row r="5572" spans="1:2" ht="15">
      <c r="A5572" s="77" t="s">
        <v>9238</v>
      </c>
      <c r="B5572" s="76" t="s">
        <v>10945</v>
      </c>
    </row>
    <row r="5573" spans="1:2" ht="15">
      <c r="A5573" s="77" t="s">
        <v>9239</v>
      </c>
      <c r="B5573" s="76" t="s">
        <v>10945</v>
      </c>
    </row>
    <row r="5574" spans="1:2" ht="15">
      <c r="A5574" s="77" t="s">
        <v>9240</v>
      </c>
      <c r="B5574" s="76" t="s">
        <v>10945</v>
      </c>
    </row>
    <row r="5575" spans="1:2" ht="15">
      <c r="A5575" s="77" t="s">
        <v>9241</v>
      </c>
      <c r="B5575" s="76" t="s">
        <v>10945</v>
      </c>
    </row>
    <row r="5576" spans="1:2" ht="15">
      <c r="A5576" s="77" t="s">
        <v>9242</v>
      </c>
      <c r="B5576" s="76" t="s">
        <v>10945</v>
      </c>
    </row>
    <row r="5577" spans="1:2" ht="15">
      <c r="A5577" s="77" t="s">
        <v>9243</v>
      </c>
      <c r="B5577" s="76" t="s">
        <v>10945</v>
      </c>
    </row>
    <row r="5578" spans="1:2" ht="15">
      <c r="A5578" s="77" t="s">
        <v>9244</v>
      </c>
      <c r="B5578" s="76" t="s">
        <v>10945</v>
      </c>
    </row>
    <row r="5579" spans="1:2" ht="15">
      <c r="A5579" s="77" t="s">
        <v>9245</v>
      </c>
      <c r="B5579" s="76" t="s">
        <v>10945</v>
      </c>
    </row>
    <row r="5580" spans="1:2" ht="15">
      <c r="A5580" s="77" t="s">
        <v>9246</v>
      </c>
      <c r="B5580" s="76" t="s">
        <v>10945</v>
      </c>
    </row>
    <row r="5581" spans="1:2" ht="15">
      <c r="A5581" s="77" t="s">
        <v>9247</v>
      </c>
      <c r="B5581" s="76" t="s">
        <v>10945</v>
      </c>
    </row>
    <row r="5582" spans="1:2" ht="15">
      <c r="A5582" s="77" t="s">
        <v>9248</v>
      </c>
      <c r="B5582" s="76" t="s">
        <v>10945</v>
      </c>
    </row>
    <row r="5583" spans="1:2" ht="15">
      <c r="A5583" s="77" t="s">
        <v>9249</v>
      </c>
      <c r="B5583" s="76" t="s">
        <v>10945</v>
      </c>
    </row>
    <row r="5584" spans="1:2" ht="15">
      <c r="A5584" s="77" t="s">
        <v>9250</v>
      </c>
      <c r="B5584" s="76" t="s">
        <v>10945</v>
      </c>
    </row>
    <row r="5585" spans="1:2" ht="15">
      <c r="A5585" s="77" t="s">
        <v>9251</v>
      </c>
      <c r="B5585" s="76" t="s">
        <v>10945</v>
      </c>
    </row>
    <row r="5586" spans="1:2" ht="15">
      <c r="A5586" s="77" t="s">
        <v>9252</v>
      </c>
      <c r="B5586" s="76" t="s">
        <v>10945</v>
      </c>
    </row>
    <row r="5587" spans="1:2" ht="15">
      <c r="A5587" s="77" t="s">
        <v>9253</v>
      </c>
      <c r="B5587" s="76" t="s">
        <v>10945</v>
      </c>
    </row>
    <row r="5588" spans="1:2" ht="15">
      <c r="A5588" s="77" t="s">
        <v>9254</v>
      </c>
      <c r="B5588" s="76" t="s">
        <v>10945</v>
      </c>
    </row>
    <row r="5589" spans="1:2" ht="15">
      <c r="A5589" s="77" t="s">
        <v>9255</v>
      </c>
      <c r="B5589" s="76" t="s">
        <v>10945</v>
      </c>
    </row>
    <row r="5590" spans="1:2" ht="15">
      <c r="A5590" s="77" t="s">
        <v>9256</v>
      </c>
      <c r="B5590" s="76" t="s">
        <v>10945</v>
      </c>
    </row>
    <row r="5591" spans="1:2" ht="15">
      <c r="A5591" s="77" t="s">
        <v>9257</v>
      </c>
      <c r="B5591" s="76" t="s">
        <v>10945</v>
      </c>
    </row>
    <row r="5592" spans="1:2" ht="15">
      <c r="A5592" s="77" t="s">
        <v>9258</v>
      </c>
      <c r="B5592" s="76" t="s">
        <v>10945</v>
      </c>
    </row>
    <row r="5593" spans="1:2" ht="15">
      <c r="A5593" s="77" t="s">
        <v>9259</v>
      </c>
      <c r="B5593" s="76" t="s">
        <v>10945</v>
      </c>
    </row>
    <row r="5594" spans="1:2" ht="15">
      <c r="A5594" s="77" t="s">
        <v>9260</v>
      </c>
      <c r="B5594" s="76" t="s">
        <v>10945</v>
      </c>
    </row>
    <row r="5595" spans="1:2" ht="15">
      <c r="A5595" s="77" t="s">
        <v>9261</v>
      </c>
      <c r="B5595" s="76" t="s">
        <v>10945</v>
      </c>
    </row>
    <row r="5596" spans="1:2" ht="15">
      <c r="A5596" s="77" t="s">
        <v>9262</v>
      </c>
      <c r="B5596" s="76" t="s">
        <v>10945</v>
      </c>
    </row>
    <row r="5597" spans="1:2" ht="15">
      <c r="A5597" s="77" t="s">
        <v>9263</v>
      </c>
      <c r="B5597" s="76" t="s">
        <v>10945</v>
      </c>
    </row>
    <row r="5598" spans="1:2" ht="15">
      <c r="A5598" s="77" t="s">
        <v>9264</v>
      </c>
      <c r="B5598" s="76" t="s">
        <v>10945</v>
      </c>
    </row>
    <row r="5599" spans="1:2" ht="15">
      <c r="A5599" s="77" t="s">
        <v>9265</v>
      </c>
      <c r="B5599" s="76" t="s">
        <v>10945</v>
      </c>
    </row>
    <row r="5600" spans="1:2" ht="15">
      <c r="A5600" s="77" t="s">
        <v>9266</v>
      </c>
      <c r="B5600" s="76" t="s">
        <v>10945</v>
      </c>
    </row>
    <row r="5601" spans="1:2" ht="15">
      <c r="A5601" s="77" t="s">
        <v>9267</v>
      </c>
      <c r="B5601" s="76" t="s">
        <v>10945</v>
      </c>
    </row>
    <row r="5602" spans="1:2" ht="15">
      <c r="A5602" s="77" t="s">
        <v>9268</v>
      </c>
      <c r="B5602" s="76" t="s">
        <v>10945</v>
      </c>
    </row>
    <row r="5603" spans="1:2" ht="15">
      <c r="A5603" s="77" t="s">
        <v>9269</v>
      </c>
      <c r="B5603" s="76" t="s">
        <v>10945</v>
      </c>
    </row>
    <row r="5604" spans="1:2" ht="15">
      <c r="A5604" s="77" t="s">
        <v>9270</v>
      </c>
      <c r="B5604" s="76" t="s">
        <v>10945</v>
      </c>
    </row>
    <row r="5605" spans="1:2" ht="15">
      <c r="A5605" s="77" t="s">
        <v>9271</v>
      </c>
      <c r="B5605" s="76" t="s">
        <v>10945</v>
      </c>
    </row>
    <row r="5606" spans="1:2" ht="15">
      <c r="A5606" s="77" t="s">
        <v>9272</v>
      </c>
      <c r="B5606" s="76" t="s">
        <v>10945</v>
      </c>
    </row>
    <row r="5607" spans="1:2" ht="15">
      <c r="A5607" s="77" t="s">
        <v>9273</v>
      </c>
      <c r="B5607" s="76" t="s">
        <v>10945</v>
      </c>
    </row>
    <row r="5608" spans="1:2" ht="15">
      <c r="A5608" s="77" t="s">
        <v>9274</v>
      </c>
      <c r="B5608" s="76" t="s">
        <v>10945</v>
      </c>
    </row>
    <row r="5609" spans="1:2" ht="15">
      <c r="A5609" s="77" t="s">
        <v>9275</v>
      </c>
      <c r="B5609" s="76" t="s">
        <v>10945</v>
      </c>
    </row>
    <row r="5610" spans="1:2" ht="15">
      <c r="A5610" s="77" t="s">
        <v>9276</v>
      </c>
      <c r="B5610" s="76" t="s">
        <v>10945</v>
      </c>
    </row>
    <row r="5611" spans="1:2" ht="15">
      <c r="A5611" s="77" t="s">
        <v>9277</v>
      </c>
      <c r="B5611" s="76" t="s">
        <v>10945</v>
      </c>
    </row>
    <row r="5612" spans="1:2" ht="15">
      <c r="A5612" s="77" t="s">
        <v>9278</v>
      </c>
      <c r="B5612" s="76" t="s">
        <v>10945</v>
      </c>
    </row>
    <row r="5613" spans="1:2" ht="15">
      <c r="A5613" s="77" t="s">
        <v>9279</v>
      </c>
      <c r="B5613" s="76" t="s">
        <v>10945</v>
      </c>
    </row>
    <row r="5614" spans="1:2" ht="15">
      <c r="A5614" s="77" t="s">
        <v>9280</v>
      </c>
      <c r="B5614" s="76" t="s">
        <v>10945</v>
      </c>
    </row>
    <row r="5615" spans="1:2" ht="15">
      <c r="A5615" s="77" t="s">
        <v>9281</v>
      </c>
      <c r="B5615" s="76" t="s">
        <v>10945</v>
      </c>
    </row>
    <row r="5616" spans="1:2" ht="15">
      <c r="A5616" s="77" t="s">
        <v>9282</v>
      </c>
      <c r="B5616" s="76" t="s">
        <v>10945</v>
      </c>
    </row>
    <row r="5617" spans="1:2" ht="15">
      <c r="A5617" s="77" t="s">
        <v>9283</v>
      </c>
      <c r="B5617" s="76" t="s">
        <v>10945</v>
      </c>
    </row>
    <row r="5618" spans="1:2" ht="15">
      <c r="A5618" s="77" t="s">
        <v>9284</v>
      </c>
      <c r="B5618" s="76" t="s">
        <v>10945</v>
      </c>
    </row>
    <row r="5619" spans="1:2" ht="15">
      <c r="A5619" s="77" t="s">
        <v>9285</v>
      </c>
      <c r="B5619" s="76" t="s">
        <v>10945</v>
      </c>
    </row>
    <row r="5620" spans="1:2" ht="15">
      <c r="A5620" s="77" t="s">
        <v>9286</v>
      </c>
      <c r="B5620" s="76" t="s">
        <v>10945</v>
      </c>
    </row>
    <row r="5621" spans="1:2" ht="15">
      <c r="A5621" s="77" t="s">
        <v>9287</v>
      </c>
      <c r="B5621" s="76" t="s">
        <v>10945</v>
      </c>
    </row>
    <row r="5622" spans="1:2" ht="15">
      <c r="A5622" s="77" t="s">
        <v>9288</v>
      </c>
      <c r="B5622" s="76" t="s">
        <v>10945</v>
      </c>
    </row>
    <row r="5623" spans="1:2" ht="15">
      <c r="A5623" s="77" t="s">
        <v>9289</v>
      </c>
      <c r="B5623" s="76" t="s">
        <v>10945</v>
      </c>
    </row>
    <row r="5624" spans="1:2" ht="15">
      <c r="A5624" s="77" t="s">
        <v>9290</v>
      </c>
      <c r="B5624" s="76" t="s">
        <v>10945</v>
      </c>
    </row>
    <row r="5625" spans="1:2" ht="15">
      <c r="A5625" s="77" t="s">
        <v>9291</v>
      </c>
      <c r="B5625" s="76" t="s">
        <v>10945</v>
      </c>
    </row>
    <row r="5626" spans="1:2" ht="15">
      <c r="A5626" s="77" t="s">
        <v>9292</v>
      </c>
      <c r="B5626" s="76" t="s">
        <v>10945</v>
      </c>
    </row>
    <row r="5627" spans="1:2" ht="15">
      <c r="A5627" s="77" t="s">
        <v>9293</v>
      </c>
      <c r="B5627" s="76" t="s">
        <v>10945</v>
      </c>
    </row>
    <row r="5628" spans="1:2" ht="15">
      <c r="A5628" s="77" t="s">
        <v>9294</v>
      </c>
      <c r="B5628" s="76" t="s">
        <v>10945</v>
      </c>
    </row>
    <row r="5629" spans="1:2" ht="15">
      <c r="A5629" s="77" t="s">
        <v>9295</v>
      </c>
      <c r="B5629" s="76" t="s">
        <v>10945</v>
      </c>
    </row>
    <row r="5630" spans="1:2" ht="15">
      <c r="A5630" s="77" t="s">
        <v>9296</v>
      </c>
      <c r="B5630" s="76" t="s">
        <v>10945</v>
      </c>
    </row>
    <row r="5631" spans="1:2" ht="15">
      <c r="A5631" s="77" t="s">
        <v>9297</v>
      </c>
      <c r="B5631" s="76" t="s">
        <v>10945</v>
      </c>
    </row>
    <row r="5632" spans="1:2" ht="15">
      <c r="A5632" s="77" t="s">
        <v>9298</v>
      </c>
      <c r="B5632" s="76" t="s">
        <v>10945</v>
      </c>
    </row>
    <row r="5633" spans="1:2" ht="15">
      <c r="A5633" s="77" t="s">
        <v>9299</v>
      </c>
      <c r="B5633" s="76" t="s">
        <v>10945</v>
      </c>
    </row>
    <row r="5634" spans="1:2" ht="15">
      <c r="A5634" s="77" t="s">
        <v>9300</v>
      </c>
      <c r="B5634" s="76" t="s">
        <v>10945</v>
      </c>
    </row>
    <row r="5635" spans="1:2" ht="15">
      <c r="A5635" s="77" t="s">
        <v>9301</v>
      </c>
      <c r="B5635" s="76" t="s">
        <v>10945</v>
      </c>
    </row>
    <row r="5636" spans="1:2" ht="15">
      <c r="A5636" s="77" t="s">
        <v>9302</v>
      </c>
      <c r="B5636" s="76" t="s">
        <v>10945</v>
      </c>
    </row>
    <row r="5637" spans="1:2" ht="15">
      <c r="A5637" s="77" t="s">
        <v>9303</v>
      </c>
      <c r="B5637" s="76" t="s">
        <v>10945</v>
      </c>
    </row>
    <row r="5638" spans="1:2" ht="15">
      <c r="A5638" s="77" t="s">
        <v>9304</v>
      </c>
      <c r="B5638" s="76" t="s">
        <v>10945</v>
      </c>
    </row>
    <row r="5639" spans="1:2" ht="15">
      <c r="A5639" s="77" t="s">
        <v>9305</v>
      </c>
      <c r="B5639" s="76" t="s">
        <v>10945</v>
      </c>
    </row>
    <row r="5640" spans="1:2" ht="15">
      <c r="A5640" s="77" t="s">
        <v>9306</v>
      </c>
      <c r="B5640" s="76" t="s">
        <v>10945</v>
      </c>
    </row>
    <row r="5641" spans="1:2" ht="15">
      <c r="A5641" s="77" t="s">
        <v>9307</v>
      </c>
      <c r="B5641" s="76" t="s">
        <v>10945</v>
      </c>
    </row>
    <row r="5642" spans="1:2" ht="15">
      <c r="A5642" s="77" t="s">
        <v>9308</v>
      </c>
      <c r="B5642" s="76" t="s">
        <v>10945</v>
      </c>
    </row>
    <row r="5643" spans="1:2" ht="15">
      <c r="A5643" s="77" t="s">
        <v>9309</v>
      </c>
      <c r="B5643" s="76" t="s">
        <v>10945</v>
      </c>
    </row>
    <row r="5644" spans="1:2" ht="15">
      <c r="A5644" s="77" t="s">
        <v>9310</v>
      </c>
      <c r="B5644" s="76" t="s">
        <v>10945</v>
      </c>
    </row>
    <row r="5645" spans="1:2" ht="15">
      <c r="A5645" s="77" t="s">
        <v>9311</v>
      </c>
      <c r="B5645" s="76" t="s">
        <v>10945</v>
      </c>
    </row>
    <row r="5646" spans="1:2" ht="15">
      <c r="A5646" s="77" t="s">
        <v>9312</v>
      </c>
      <c r="B5646" s="76" t="s">
        <v>10945</v>
      </c>
    </row>
    <row r="5647" spans="1:2" ht="15">
      <c r="A5647" s="77" t="s">
        <v>9313</v>
      </c>
      <c r="B5647" s="76" t="s">
        <v>10945</v>
      </c>
    </row>
    <row r="5648" spans="1:2" ht="15">
      <c r="A5648" s="77" t="s">
        <v>9314</v>
      </c>
      <c r="B5648" s="76" t="s">
        <v>10945</v>
      </c>
    </row>
    <row r="5649" spans="1:2" ht="15">
      <c r="A5649" s="77" t="s">
        <v>9315</v>
      </c>
      <c r="B5649" s="76" t="s">
        <v>10945</v>
      </c>
    </row>
    <row r="5650" spans="1:2" ht="15">
      <c r="A5650" s="77" t="s">
        <v>9316</v>
      </c>
      <c r="B5650" s="76" t="s">
        <v>10945</v>
      </c>
    </row>
    <row r="5651" spans="1:2" ht="15">
      <c r="A5651" s="77" t="s">
        <v>3165</v>
      </c>
      <c r="B5651" s="76" t="s">
        <v>10945</v>
      </c>
    </row>
    <row r="5652" spans="1:2" ht="15">
      <c r="A5652" s="77" t="s">
        <v>9317</v>
      </c>
      <c r="B5652" s="76" t="s">
        <v>10945</v>
      </c>
    </row>
    <row r="5653" spans="1:2" ht="15">
      <c r="A5653" s="77" t="s">
        <v>9318</v>
      </c>
      <c r="B5653" s="76" t="s">
        <v>10945</v>
      </c>
    </row>
    <row r="5654" spans="1:2" ht="15">
      <c r="A5654" s="77" t="s">
        <v>9319</v>
      </c>
      <c r="B5654" s="76" t="s">
        <v>10945</v>
      </c>
    </row>
    <row r="5655" spans="1:2" ht="15">
      <c r="A5655" s="77" t="s">
        <v>9320</v>
      </c>
      <c r="B5655" s="76" t="s">
        <v>10945</v>
      </c>
    </row>
    <row r="5656" spans="1:2" ht="15">
      <c r="A5656" s="77" t="s">
        <v>9321</v>
      </c>
      <c r="B5656" s="76" t="s">
        <v>10945</v>
      </c>
    </row>
    <row r="5657" spans="1:2" ht="15">
      <c r="A5657" s="77" t="s">
        <v>9322</v>
      </c>
      <c r="B5657" s="76" t="s">
        <v>10945</v>
      </c>
    </row>
    <row r="5658" spans="1:2" ht="15">
      <c r="A5658" s="77" t="s">
        <v>9323</v>
      </c>
      <c r="B5658" s="76" t="s">
        <v>10945</v>
      </c>
    </row>
    <row r="5659" spans="1:2" ht="15">
      <c r="A5659" s="77" t="s">
        <v>9324</v>
      </c>
      <c r="B5659" s="76" t="s">
        <v>10945</v>
      </c>
    </row>
    <row r="5660" spans="1:2" ht="15">
      <c r="A5660" s="77" t="s">
        <v>9325</v>
      </c>
      <c r="B5660" s="76" t="s">
        <v>10945</v>
      </c>
    </row>
    <row r="5661" spans="1:2" ht="15">
      <c r="A5661" s="77" t="s">
        <v>9326</v>
      </c>
      <c r="B5661" s="76" t="s">
        <v>10945</v>
      </c>
    </row>
    <row r="5662" spans="1:2" ht="15">
      <c r="A5662" s="77" t="s">
        <v>3108</v>
      </c>
      <c r="B5662" s="76" t="s">
        <v>10945</v>
      </c>
    </row>
    <row r="5663" spans="1:2" ht="15">
      <c r="A5663" s="77" t="s">
        <v>9327</v>
      </c>
      <c r="B5663" s="76" t="s">
        <v>10945</v>
      </c>
    </row>
    <row r="5664" spans="1:2" ht="15">
      <c r="A5664" s="77" t="s">
        <v>9328</v>
      </c>
      <c r="B5664" s="76" t="s">
        <v>10945</v>
      </c>
    </row>
    <row r="5665" spans="1:2" ht="15">
      <c r="A5665" s="77" t="s">
        <v>9329</v>
      </c>
      <c r="B5665" s="76" t="s">
        <v>10945</v>
      </c>
    </row>
    <row r="5666" spans="1:2" ht="15">
      <c r="A5666" s="77" t="s">
        <v>9330</v>
      </c>
      <c r="B5666" s="76" t="s">
        <v>10945</v>
      </c>
    </row>
    <row r="5667" spans="1:2" ht="15">
      <c r="A5667" s="77" t="s">
        <v>9331</v>
      </c>
      <c r="B5667" s="76" t="s">
        <v>10945</v>
      </c>
    </row>
    <row r="5668" spans="1:2" ht="15">
      <c r="A5668" s="77" t="s">
        <v>9332</v>
      </c>
      <c r="B5668" s="76" t="s">
        <v>10945</v>
      </c>
    </row>
    <row r="5669" spans="1:2" ht="15">
      <c r="A5669" s="77" t="s">
        <v>9333</v>
      </c>
      <c r="B5669" s="76" t="s">
        <v>10945</v>
      </c>
    </row>
    <row r="5670" spans="1:2" ht="15">
      <c r="A5670" s="77" t="s">
        <v>9334</v>
      </c>
      <c r="B5670" s="76" t="s">
        <v>10945</v>
      </c>
    </row>
    <row r="5671" spans="1:2" ht="15">
      <c r="A5671" s="77" t="s">
        <v>9335</v>
      </c>
      <c r="B5671" s="76" t="s">
        <v>10945</v>
      </c>
    </row>
    <row r="5672" spans="1:2" ht="15">
      <c r="A5672" s="77" t="s">
        <v>9336</v>
      </c>
      <c r="B5672" s="76" t="s">
        <v>10945</v>
      </c>
    </row>
    <row r="5673" spans="1:2" ht="15">
      <c r="A5673" s="77" t="s">
        <v>9337</v>
      </c>
      <c r="B5673" s="76" t="s">
        <v>10945</v>
      </c>
    </row>
    <row r="5674" spans="1:2" ht="15">
      <c r="A5674" s="77" t="s">
        <v>9338</v>
      </c>
      <c r="B5674" s="76" t="s">
        <v>10945</v>
      </c>
    </row>
    <row r="5675" spans="1:2" ht="15">
      <c r="A5675" s="77" t="s">
        <v>9339</v>
      </c>
      <c r="B5675" s="76" t="s">
        <v>10945</v>
      </c>
    </row>
    <row r="5676" spans="1:2" ht="15">
      <c r="A5676" s="77" t="s">
        <v>9340</v>
      </c>
      <c r="B5676" s="76" t="s">
        <v>10945</v>
      </c>
    </row>
    <row r="5677" spans="1:2" ht="15">
      <c r="A5677" s="77" t="s">
        <v>9341</v>
      </c>
      <c r="B5677" s="76" t="s">
        <v>10945</v>
      </c>
    </row>
    <row r="5678" spans="1:2" ht="15">
      <c r="A5678" s="77" t="s">
        <v>9342</v>
      </c>
      <c r="B5678" s="76" t="s">
        <v>10945</v>
      </c>
    </row>
    <row r="5679" spans="1:2" ht="15">
      <c r="A5679" s="77" t="s">
        <v>9343</v>
      </c>
      <c r="B5679" s="76" t="s">
        <v>10945</v>
      </c>
    </row>
    <row r="5680" spans="1:2" ht="15">
      <c r="A5680" s="77" t="s">
        <v>9344</v>
      </c>
      <c r="B5680" s="76" t="s">
        <v>10945</v>
      </c>
    </row>
    <row r="5681" spans="1:2" ht="15">
      <c r="A5681" s="77" t="s">
        <v>9345</v>
      </c>
      <c r="B5681" s="76" t="s">
        <v>10945</v>
      </c>
    </row>
    <row r="5682" spans="1:2" ht="15">
      <c r="A5682" s="77" t="s">
        <v>9346</v>
      </c>
      <c r="B5682" s="76" t="s">
        <v>10945</v>
      </c>
    </row>
    <row r="5683" spans="1:2" ht="15">
      <c r="A5683" s="77" t="s">
        <v>9347</v>
      </c>
      <c r="B5683" s="76" t="s">
        <v>10945</v>
      </c>
    </row>
    <row r="5684" spans="1:2" ht="15">
      <c r="A5684" s="77" t="s">
        <v>9348</v>
      </c>
      <c r="B5684" s="76" t="s">
        <v>10945</v>
      </c>
    </row>
    <row r="5685" spans="1:2" ht="15">
      <c r="A5685" s="77" t="s">
        <v>9349</v>
      </c>
      <c r="B5685" s="76" t="s">
        <v>10945</v>
      </c>
    </row>
    <row r="5686" spans="1:2" ht="15">
      <c r="A5686" s="77" t="s">
        <v>9350</v>
      </c>
      <c r="B5686" s="76" t="s">
        <v>10945</v>
      </c>
    </row>
    <row r="5687" spans="1:2" ht="15">
      <c r="A5687" s="77" t="s">
        <v>9351</v>
      </c>
      <c r="B5687" s="76" t="s">
        <v>10945</v>
      </c>
    </row>
    <row r="5688" spans="1:2" ht="15">
      <c r="A5688" s="77" t="s">
        <v>9352</v>
      </c>
      <c r="B5688" s="76" t="s">
        <v>10945</v>
      </c>
    </row>
    <row r="5689" spans="1:2" ht="15">
      <c r="A5689" s="77" t="s">
        <v>9353</v>
      </c>
      <c r="B5689" s="76" t="s">
        <v>10945</v>
      </c>
    </row>
    <row r="5690" spans="1:2" ht="15">
      <c r="A5690" s="77" t="s">
        <v>9354</v>
      </c>
      <c r="B5690" s="76" t="s">
        <v>10945</v>
      </c>
    </row>
    <row r="5691" spans="1:2" ht="15">
      <c r="A5691" s="77" t="s">
        <v>9355</v>
      </c>
      <c r="B5691" s="76" t="s">
        <v>10945</v>
      </c>
    </row>
    <row r="5692" spans="1:2" ht="15">
      <c r="A5692" s="77" t="s">
        <v>9356</v>
      </c>
      <c r="B5692" s="76" t="s">
        <v>10945</v>
      </c>
    </row>
    <row r="5693" spans="1:2" ht="15">
      <c r="A5693" s="77" t="s">
        <v>9357</v>
      </c>
      <c r="B5693" s="76" t="s">
        <v>10945</v>
      </c>
    </row>
    <row r="5694" spans="1:2" ht="15">
      <c r="A5694" s="77" t="s">
        <v>9358</v>
      </c>
      <c r="B5694" s="76" t="s">
        <v>10945</v>
      </c>
    </row>
    <row r="5695" spans="1:2" ht="15">
      <c r="A5695" s="77" t="s">
        <v>9359</v>
      </c>
      <c r="B5695" s="76" t="s">
        <v>10945</v>
      </c>
    </row>
    <row r="5696" spans="1:2" ht="15">
      <c r="A5696" s="77" t="s">
        <v>9360</v>
      </c>
      <c r="B5696" s="76" t="s">
        <v>10945</v>
      </c>
    </row>
    <row r="5697" spans="1:2" ht="15">
      <c r="A5697" s="77" t="s">
        <v>9361</v>
      </c>
      <c r="B5697" s="76" t="s">
        <v>10945</v>
      </c>
    </row>
    <row r="5698" spans="1:2" ht="15">
      <c r="A5698" s="77" t="s">
        <v>9362</v>
      </c>
      <c r="B5698" s="76" t="s">
        <v>10945</v>
      </c>
    </row>
    <row r="5699" spans="1:2" ht="15">
      <c r="A5699" s="77" t="s">
        <v>9363</v>
      </c>
      <c r="B5699" s="76" t="s">
        <v>10945</v>
      </c>
    </row>
    <row r="5700" spans="1:2" ht="15">
      <c r="A5700" s="77" t="s">
        <v>9364</v>
      </c>
      <c r="B5700" s="76" t="s">
        <v>10945</v>
      </c>
    </row>
    <row r="5701" spans="1:2" ht="15">
      <c r="A5701" s="77" t="s">
        <v>9365</v>
      </c>
      <c r="B5701" s="76" t="s">
        <v>10945</v>
      </c>
    </row>
    <row r="5702" spans="1:2" ht="15">
      <c r="A5702" s="77" t="s">
        <v>9366</v>
      </c>
      <c r="B5702" s="76" t="s">
        <v>10945</v>
      </c>
    </row>
    <row r="5703" spans="1:2" ht="15">
      <c r="A5703" s="77" t="s">
        <v>9367</v>
      </c>
      <c r="B5703" s="76" t="s">
        <v>10945</v>
      </c>
    </row>
    <row r="5704" spans="1:2" ht="15">
      <c r="A5704" s="77" t="s">
        <v>9368</v>
      </c>
      <c r="B5704" s="76" t="s">
        <v>10945</v>
      </c>
    </row>
    <row r="5705" spans="1:2" ht="15">
      <c r="A5705" s="77" t="s">
        <v>9369</v>
      </c>
      <c r="B5705" s="76" t="s">
        <v>10945</v>
      </c>
    </row>
    <row r="5706" spans="1:2" ht="15">
      <c r="A5706" s="77" t="s">
        <v>9370</v>
      </c>
      <c r="B5706" s="76" t="s">
        <v>10945</v>
      </c>
    </row>
    <row r="5707" spans="1:2" ht="15">
      <c r="A5707" s="77" t="s">
        <v>9371</v>
      </c>
      <c r="B5707" s="76" t="s">
        <v>10945</v>
      </c>
    </row>
    <row r="5708" spans="1:2" ht="15">
      <c r="A5708" s="77" t="s">
        <v>9372</v>
      </c>
      <c r="B5708" s="76" t="s">
        <v>10945</v>
      </c>
    </row>
    <row r="5709" spans="1:2" ht="15">
      <c r="A5709" s="77" t="s">
        <v>9373</v>
      </c>
      <c r="B5709" s="76" t="s">
        <v>10945</v>
      </c>
    </row>
    <row r="5710" spans="1:2" ht="15">
      <c r="A5710" s="77" t="s">
        <v>9374</v>
      </c>
      <c r="B5710" s="76" t="s">
        <v>10945</v>
      </c>
    </row>
    <row r="5711" spans="1:2" ht="15">
      <c r="A5711" s="77" t="s">
        <v>9375</v>
      </c>
      <c r="B5711" s="76" t="s">
        <v>10945</v>
      </c>
    </row>
    <row r="5712" spans="1:2" ht="15">
      <c r="A5712" s="77" t="s">
        <v>9376</v>
      </c>
      <c r="B5712" s="76" t="s">
        <v>10945</v>
      </c>
    </row>
    <row r="5713" spans="1:2" ht="15">
      <c r="A5713" s="77" t="s">
        <v>9377</v>
      </c>
      <c r="B5713" s="76" t="s">
        <v>10945</v>
      </c>
    </row>
    <row r="5714" spans="1:2" ht="15">
      <c r="A5714" s="77" t="s">
        <v>9378</v>
      </c>
      <c r="B5714" s="76" t="s">
        <v>10945</v>
      </c>
    </row>
    <row r="5715" spans="1:2" ht="15">
      <c r="A5715" s="77" t="s">
        <v>9379</v>
      </c>
      <c r="B5715" s="76" t="s">
        <v>10945</v>
      </c>
    </row>
    <row r="5716" spans="1:2" ht="15">
      <c r="A5716" s="77" t="s">
        <v>9380</v>
      </c>
      <c r="B5716" s="76" t="s">
        <v>10945</v>
      </c>
    </row>
    <row r="5717" spans="1:2" ht="15">
      <c r="A5717" s="77" t="s">
        <v>9381</v>
      </c>
      <c r="B5717" s="76" t="s">
        <v>10945</v>
      </c>
    </row>
    <row r="5718" spans="1:2" ht="15">
      <c r="A5718" s="77" t="s">
        <v>9382</v>
      </c>
      <c r="B5718" s="76" t="s">
        <v>10945</v>
      </c>
    </row>
    <row r="5719" spans="1:2" ht="15">
      <c r="A5719" s="77" t="s">
        <v>9383</v>
      </c>
      <c r="B5719" s="76" t="s">
        <v>10945</v>
      </c>
    </row>
    <row r="5720" spans="1:2" ht="15">
      <c r="A5720" s="77" t="s">
        <v>9384</v>
      </c>
      <c r="B5720" s="76" t="s">
        <v>10945</v>
      </c>
    </row>
    <row r="5721" spans="1:2" ht="15">
      <c r="A5721" s="77" t="s">
        <v>9385</v>
      </c>
      <c r="B5721" s="76" t="s">
        <v>10945</v>
      </c>
    </row>
    <row r="5722" spans="1:2" ht="15">
      <c r="A5722" s="77" t="s">
        <v>9386</v>
      </c>
      <c r="B5722" s="76" t="s">
        <v>10945</v>
      </c>
    </row>
    <row r="5723" spans="1:2" ht="15">
      <c r="A5723" s="77" t="s">
        <v>9387</v>
      </c>
      <c r="B5723" s="76" t="s">
        <v>10945</v>
      </c>
    </row>
    <row r="5724" spans="1:2" ht="15">
      <c r="A5724" s="77" t="s">
        <v>9388</v>
      </c>
      <c r="B5724" s="76" t="s">
        <v>10945</v>
      </c>
    </row>
    <row r="5725" spans="1:2" ht="15">
      <c r="A5725" s="77" t="s">
        <v>9389</v>
      </c>
      <c r="B5725" s="76" t="s">
        <v>10945</v>
      </c>
    </row>
    <row r="5726" spans="1:2" ht="15">
      <c r="A5726" s="77" t="s">
        <v>9390</v>
      </c>
      <c r="B5726" s="76" t="s">
        <v>10945</v>
      </c>
    </row>
    <row r="5727" spans="1:2" ht="15">
      <c r="A5727" s="77" t="s">
        <v>9391</v>
      </c>
      <c r="B5727" s="76" t="s">
        <v>10945</v>
      </c>
    </row>
    <row r="5728" spans="1:2" ht="15">
      <c r="A5728" s="77" t="s">
        <v>9392</v>
      </c>
      <c r="B5728" s="76" t="s">
        <v>10945</v>
      </c>
    </row>
    <row r="5729" spans="1:2" ht="15">
      <c r="A5729" s="77" t="s">
        <v>9393</v>
      </c>
      <c r="B5729" s="76" t="s">
        <v>10945</v>
      </c>
    </row>
    <row r="5730" spans="1:2" ht="15">
      <c r="A5730" s="77" t="s">
        <v>9394</v>
      </c>
      <c r="B5730" s="76" t="s">
        <v>10945</v>
      </c>
    </row>
    <row r="5731" spans="1:2" ht="15">
      <c r="A5731" s="77" t="s">
        <v>2726</v>
      </c>
      <c r="B5731" s="76" t="s">
        <v>10945</v>
      </c>
    </row>
    <row r="5732" spans="1:2" ht="15">
      <c r="A5732" s="77" t="s">
        <v>9395</v>
      </c>
      <c r="B5732" s="76" t="s">
        <v>10945</v>
      </c>
    </row>
    <row r="5733" spans="1:2" ht="15">
      <c r="A5733" s="77" t="s">
        <v>9396</v>
      </c>
      <c r="B5733" s="76" t="s">
        <v>10945</v>
      </c>
    </row>
    <row r="5734" spans="1:2" ht="15">
      <c r="A5734" s="77" t="s">
        <v>9397</v>
      </c>
      <c r="B5734" s="76" t="s">
        <v>10945</v>
      </c>
    </row>
    <row r="5735" spans="1:2" ht="15">
      <c r="A5735" s="77" t="s">
        <v>9398</v>
      </c>
      <c r="B5735" s="76" t="s">
        <v>10945</v>
      </c>
    </row>
    <row r="5736" spans="1:2" ht="15">
      <c r="A5736" s="77" t="s">
        <v>9399</v>
      </c>
      <c r="B5736" s="76" t="s">
        <v>10945</v>
      </c>
    </row>
    <row r="5737" spans="1:2" ht="15">
      <c r="A5737" s="77" t="s">
        <v>9400</v>
      </c>
      <c r="B5737" s="76" t="s">
        <v>10945</v>
      </c>
    </row>
    <row r="5738" spans="1:2" ht="15">
      <c r="A5738" s="77" t="s">
        <v>9401</v>
      </c>
      <c r="B5738" s="76" t="s">
        <v>10945</v>
      </c>
    </row>
    <row r="5739" spans="1:2" ht="15">
      <c r="A5739" s="77" t="s">
        <v>9402</v>
      </c>
      <c r="B5739" s="76" t="s">
        <v>10945</v>
      </c>
    </row>
    <row r="5740" spans="1:2" ht="15">
      <c r="A5740" s="77" t="s">
        <v>9403</v>
      </c>
      <c r="B5740" s="76" t="s">
        <v>10945</v>
      </c>
    </row>
    <row r="5741" spans="1:2" ht="15">
      <c r="A5741" s="77" t="s">
        <v>9404</v>
      </c>
      <c r="B5741" s="76" t="s">
        <v>10945</v>
      </c>
    </row>
    <row r="5742" spans="1:2" ht="15">
      <c r="A5742" s="77" t="s">
        <v>9405</v>
      </c>
      <c r="B5742" s="76" t="s">
        <v>10945</v>
      </c>
    </row>
    <row r="5743" spans="1:2" ht="15">
      <c r="A5743" s="77" t="s">
        <v>9406</v>
      </c>
      <c r="B5743" s="76" t="s">
        <v>10945</v>
      </c>
    </row>
    <row r="5744" spans="1:2" ht="15">
      <c r="A5744" s="77" t="s">
        <v>9407</v>
      </c>
      <c r="B5744" s="76" t="s">
        <v>10945</v>
      </c>
    </row>
    <row r="5745" spans="1:2" ht="15">
      <c r="A5745" s="77" t="s">
        <v>9408</v>
      </c>
      <c r="B5745" s="76" t="s">
        <v>10945</v>
      </c>
    </row>
    <row r="5746" spans="1:2" ht="15">
      <c r="A5746" s="77" t="s">
        <v>9409</v>
      </c>
      <c r="B5746" s="76" t="s">
        <v>10945</v>
      </c>
    </row>
    <row r="5747" spans="1:2" ht="15">
      <c r="A5747" s="77" t="s">
        <v>9410</v>
      </c>
      <c r="B5747" s="76" t="s">
        <v>10945</v>
      </c>
    </row>
    <row r="5748" spans="1:2" ht="15">
      <c r="A5748" s="77" t="s">
        <v>9411</v>
      </c>
      <c r="B5748" s="76" t="s">
        <v>10945</v>
      </c>
    </row>
    <row r="5749" spans="1:2" ht="15">
      <c r="A5749" s="77" t="s">
        <v>9412</v>
      </c>
      <c r="B5749" s="76" t="s">
        <v>10945</v>
      </c>
    </row>
    <row r="5750" spans="1:2" ht="15">
      <c r="A5750" s="77" t="s">
        <v>9413</v>
      </c>
      <c r="B5750" s="76" t="s">
        <v>10945</v>
      </c>
    </row>
    <row r="5751" spans="1:2" ht="15">
      <c r="A5751" s="77" t="s">
        <v>9414</v>
      </c>
      <c r="B5751" s="76" t="s">
        <v>10945</v>
      </c>
    </row>
    <row r="5752" spans="1:2" ht="15">
      <c r="A5752" s="77" t="s">
        <v>9415</v>
      </c>
      <c r="B5752" s="76" t="s">
        <v>10945</v>
      </c>
    </row>
    <row r="5753" spans="1:2" ht="15">
      <c r="A5753" s="77" t="s">
        <v>9416</v>
      </c>
      <c r="B5753" s="76" t="s">
        <v>10945</v>
      </c>
    </row>
    <row r="5754" spans="1:2" ht="15">
      <c r="A5754" s="77" t="s">
        <v>9417</v>
      </c>
      <c r="B5754" s="76" t="s">
        <v>10945</v>
      </c>
    </row>
    <row r="5755" spans="1:2" ht="15">
      <c r="A5755" s="77" t="s">
        <v>9418</v>
      </c>
      <c r="B5755" s="76" t="s">
        <v>10945</v>
      </c>
    </row>
    <row r="5756" spans="1:2" ht="15">
      <c r="A5756" s="77" t="s">
        <v>9419</v>
      </c>
      <c r="B5756" s="76" t="s">
        <v>10945</v>
      </c>
    </row>
    <row r="5757" spans="1:2" ht="15">
      <c r="A5757" s="77" t="s">
        <v>9420</v>
      </c>
      <c r="B5757" s="76" t="s">
        <v>10945</v>
      </c>
    </row>
    <row r="5758" spans="1:2" ht="15">
      <c r="A5758" s="77" t="s">
        <v>9421</v>
      </c>
      <c r="B5758" s="76" t="s">
        <v>10945</v>
      </c>
    </row>
    <row r="5759" spans="1:2" ht="15">
      <c r="A5759" s="77" t="s">
        <v>9422</v>
      </c>
      <c r="B5759" s="76" t="s">
        <v>10945</v>
      </c>
    </row>
    <row r="5760" spans="1:2" ht="15">
      <c r="A5760" s="77" t="s">
        <v>9423</v>
      </c>
      <c r="B5760" s="76" t="s">
        <v>10945</v>
      </c>
    </row>
    <row r="5761" spans="1:2" ht="15">
      <c r="A5761" s="77" t="s">
        <v>9424</v>
      </c>
      <c r="B5761" s="76" t="s">
        <v>10945</v>
      </c>
    </row>
    <row r="5762" spans="1:2" ht="15">
      <c r="A5762" s="77" t="s">
        <v>9425</v>
      </c>
      <c r="B5762" s="76" t="s">
        <v>10945</v>
      </c>
    </row>
    <row r="5763" spans="1:2" ht="15">
      <c r="A5763" s="77" t="s">
        <v>9426</v>
      </c>
      <c r="B5763" s="76" t="s">
        <v>10945</v>
      </c>
    </row>
    <row r="5764" spans="1:2" ht="15">
      <c r="A5764" s="77" t="s">
        <v>9427</v>
      </c>
      <c r="B5764" s="76" t="s">
        <v>10945</v>
      </c>
    </row>
    <row r="5765" spans="1:2" ht="15">
      <c r="A5765" s="77" t="s">
        <v>9428</v>
      </c>
      <c r="B5765" s="76" t="s">
        <v>10945</v>
      </c>
    </row>
    <row r="5766" spans="1:2" ht="15">
      <c r="A5766" s="77" t="s">
        <v>9429</v>
      </c>
      <c r="B5766" s="76" t="s">
        <v>10945</v>
      </c>
    </row>
    <row r="5767" spans="1:2" ht="15">
      <c r="A5767" s="77" t="s">
        <v>9430</v>
      </c>
      <c r="B5767" s="76" t="s">
        <v>10945</v>
      </c>
    </row>
    <row r="5768" spans="1:2" ht="15">
      <c r="A5768" s="77" t="s">
        <v>9431</v>
      </c>
      <c r="B5768" s="76" t="s">
        <v>10945</v>
      </c>
    </row>
    <row r="5769" spans="1:2" ht="15">
      <c r="A5769" s="77" t="s">
        <v>9432</v>
      </c>
      <c r="B5769" s="76" t="s">
        <v>10945</v>
      </c>
    </row>
    <row r="5770" spans="1:2" ht="15">
      <c r="A5770" s="77" t="s">
        <v>9433</v>
      </c>
      <c r="B5770" s="76" t="s">
        <v>10945</v>
      </c>
    </row>
    <row r="5771" spans="1:2" ht="15">
      <c r="A5771" s="77" t="s">
        <v>9434</v>
      </c>
      <c r="B5771" s="76" t="s">
        <v>10945</v>
      </c>
    </row>
    <row r="5772" spans="1:2" ht="15">
      <c r="A5772" s="77" t="s">
        <v>9435</v>
      </c>
      <c r="B5772" s="76" t="s">
        <v>10945</v>
      </c>
    </row>
    <row r="5773" spans="1:2" ht="15">
      <c r="A5773" s="77" t="s">
        <v>9436</v>
      </c>
      <c r="B5773" s="76" t="s">
        <v>10945</v>
      </c>
    </row>
    <row r="5774" spans="1:2" ht="15">
      <c r="A5774" s="77" t="s">
        <v>9437</v>
      </c>
      <c r="B5774" s="76" t="s">
        <v>10945</v>
      </c>
    </row>
    <row r="5775" spans="1:2" ht="15">
      <c r="A5775" s="77" t="s">
        <v>9438</v>
      </c>
      <c r="B5775" s="76" t="s">
        <v>10945</v>
      </c>
    </row>
    <row r="5776" spans="1:2" ht="15">
      <c r="A5776" s="77" t="s">
        <v>9439</v>
      </c>
      <c r="B5776" s="76" t="s">
        <v>10945</v>
      </c>
    </row>
    <row r="5777" spans="1:2" ht="15">
      <c r="A5777" s="77" t="s">
        <v>9440</v>
      </c>
      <c r="B5777" s="76" t="s">
        <v>10945</v>
      </c>
    </row>
    <row r="5778" spans="1:2" ht="15">
      <c r="A5778" s="77" t="s">
        <v>9441</v>
      </c>
      <c r="B5778" s="76" t="s">
        <v>10945</v>
      </c>
    </row>
    <row r="5779" spans="1:2" ht="15">
      <c r="A5779" s="77" t="s">
        <v>9442</v>
      </c>
      <c r="B5779" s="76" t="s">
        <v>10945</v>
      </c>
    </row>
    <row r="5780" spans="1:2" ht="15">
      <c r="A5780" s="77" t="s">
        <v>9443</v>
      </c>
      <c r="B5780" s="76" t="s">
        <v>10945</v>
      </c>
    </row>
    <row r="5781" spans="1:2" ht="15">
      <c r="A5781" s="77" t="s">
        <v>9444</v>
      </c>
      <c r="B5781" s="76" t="s">
        <v>10945</v>
      </c>
    </row>
    <row r="5782" spans="1:2" ht="15">
      <c r="A5782" s="77" t="s">
        <v>9445</v>
      </c>
      <c r="B5782" s="76" t="s">
        <v>10945</v>
      </c>
    </row>
    <row r="5783" spans="1:2" ht="15">
      <c r="A5783" s="77" t="s">
        <v>9446</v>
      </c>
      <c r="B5783" s="76" t="s">
        <v>10945</v>
      </c>
    </row>
    <row r="5784" spans="1:2" ht="15">
      <c r="A5784" s="77" t="s">
        <v>9447</v>
      </c>
      <c r="B5784" s="76" t="s">
        <v>10945</v>
      </c>
    </row>
    <row r="5785" spans="1:2" ht="15">
      <c r="A5785" s="77" t="s">
        <v>9448</v>
      </c>
      <c r="B5785" s="76" t="s">
        <v>10945</v>
      </c>
    </row>
    <row r="5786" spans="1:2" ht="15">
      <c r="A5786" s="77" t="s">
        <v>9449</v>
      </c>
      <c r="B5786" s="76" t="s">
        <v>10945</v>
      </c>
    </row>
    <row r="5787" spans="1:2" ht="15">
      <c r="A5787" s="77" t="s">
        <v>9450</v>
      </c>
      <c r="B5787" s="76" t="s">
        <v>10945</v>
      </c>
    </row>
    <row r="5788" spans="1:2" ht="15">
      <c r="A5788" s="77" t="s">
        <v>9451</v>
      </c>
      <c r="B5788" s="76" t="s">
        <v>10945</v>
      </c>
    </row>
    <row r="5789" spans="1:2" ht="15">
      <c r="A5789" s="77" t="s">
        <v>9452</v>
      </c>
      <c r="B5789" s="76" t="s">
        <v>10945</v>
      </c>
    </row>
    <row r="5790" spans="1:2" ht="15">
      <c r="A5790" s="77" t="s">
        <v>9453</v>
      </c>
      <c r="B5790" s="76" t="s">
        <v>10945</v>
      </c>
    </row>
    <row r="5791" spans="1:2" ht="15">
      <c r="A5791" s="77" t="s">
        <v>9454</v>
      </c>
      <c r="B5791" s="76" t="s">
        <v>10945</v>
      </c>
    </row>
    <row r="5792" spans="1:2" ht="15">
      <c r="A5792" s="77" t="s">
        <v>9455</v>
      </c>
      <c r="B5792" s="76" t="s">
        <v>10945</v>
      </c>
    </row>
    <row r="5793" spans="1:2" ht="15">
      <c r="A5793" s="77" t="s">
        <v>9456</v>
      </c>
      <c r="B5793" s="76" t="s">
        <v>10945</v>
      </c>
    </row>
    <row r="5794" spans="1:2" ht="15">
      <c r="A5794" s="77" t="s">
        <v>3511</v>
      </c>
      <c r="B5794" s="76" t="s">
        <v>10945</v>
      </c>
    </row>
    <row r="5795" spans="1:2" ht="15">
      <c r="A5795" s="77" t="s">
        <v>9457</v>
      </c>
      <c r="B5795" s="76" t="s">
        <v>10945</v>
      </c>
    </row>
    <row r="5796" spans="1:2" ht="15">
      <c r="A5796" s="77" t="s">
        <v>9458</v>
      </c>
      <c r="B5796" s="76" t="s">
        <v>10945</v>
      </c>
    </row>
    <row r="5797" spans="1:2" ht="15">
      <c r="A5797" s="77" t="s">
        <v>9459</v>
      </c>
      <c r="B5797" s="76" t="s">
        <v>10945</v>
      </c>
    </row>
    <row r="5798" spans="1:2" ht="15">
      <c r="A5798" s="77" t="s">
        <v>9460</v>
      </c>
      <c r="B5798" s="76" t="s">
        <v>10945</v>
      </c>
    </row>
    <row r="5799" spans="1:2" ht="15">
      <c r="A5799" s="77" t="s">
        <v>9461</v>
      </c>
      <c r="B5799" s="76" t="s">
        <v>10945</v>
      </c>
    </row>
    <row r="5800" spans="1:2" ht="15">
      <c r="A5800" s="77" t="s">
        <v>9462</v>
      </c>
      <c r="B5800" s="76" t="s">
        <v>10945</v>
      </c>
    </row>
    <row r="5801" spans="1:2" ht="15">
      <c r="A5801" s="77" t="s">
        <v>9463</v>
      </c>
      <c r="B5801" s="76" t="s">
        <v>10945</v>
      </c>
    </row>
    <row r="5802" spans="1:2" ht="15">
      <c r="A5802" s="77" t="s">
        <v>9464</v>
      </c>
      <c r="B5802" s="76" t="s">
        <v>10945</v>
      </c>
    </row>
    <row r="5803" spans="1:2" ht="15">
      <c r="A5803" s="77" t="s">
        <v>9465</v>
      </c>
      <c r="B5803" s="76" t="s">
        <v>10945</v>
      </c>
    </row>
    <row r="5804" spans="1:2" ht="15">
      <c r="A5804" s="77" t="s">
        <v>9466</v>
      </c>
      <c r="B5804" s="76" t="s">
        <v>10945</v>
      </c>
    </row>
    <row r="5805" spans="1:2" ht="15">
      <c r="A5805" s="77" t="s">
        <v>9467</v>
      </c>
      <c r="B5805" s="76" t="s">
        <v>10945</v>
      </c>
    </row>
    <row r="5806" spans="1:2" ht="15">
      <c r="A5806" s="77" t="s">
        <v>9468</v>
      </c>
      <c r="B5806" s="76" t="s">
        <v>10945</v>
      </c>
    </row>
    <row r="5807" spans="1:2" ht="15">
      <c r="A5807" s="77" t="s">
        <v>9469</v>
      </c>
      <c r="B5807" s="76" t="s">
        <v>10945</v>
      </c>
    </row>
    <row r="5808" spans="1:2" ht="15">
      <c r="A5808" s="77" t="s">
        <v>9470</v>
      </c>
      <c r="B5808" s="76" t="s">
        <v>10945</v>
      </c>
    </row>
    <row r="5809" spans="1:2" ht="15">
      <c r="A5809" s="77" t="s">
        <v>9471</v>
      </c>
      <c r="B5809" s="76" t="s">
        <v>10945</v>
      </c>
    </row>
    <row r="5810" spans="1:2" ht="15">
      <c r="A5810" s="77" t="s">
        <v>9472</v>
      </c>
      <c r="B5810" s="76" t="s">
        <v>10945</v>
      </c>
    </row>
    <row r="5811" spans="1:2" ht="15">
      <c r="A5811" s="77" t="s">
        <v>9473</v>
      </c>
      <c r="B5811" s="76" t="s">
        <v>10945</v>
      </c>
    </row>
    <row r="5812" spans="1:2" ht="15">
      <c r="A5812" s="77" t="s">
        <v>9474</v>
      </c>
      <c r="B5812" s="76" t="s">
        <v>10945</v>
      </c>
    </row>
    <row r="5813" spans="1:2" ht="15">
      <c r="A5813" s="77" t="s">
        <v>9475</v>
      </c>
      <c r="B5813" s="76" t="s">
        <v>10945</v>
      </c>
    </row>
    <row r="5814" spans="1:2" ht="15">
      <c r="A5814" s="77" t="s">
        <v>9476</v>
      </c>
      <c r="B5814" s="76" t="s">
        <v>10945</v>
      </c>
    </row>
    <row r="5815" spans="1:2" ht="15">
      <c r="A5815" s="77" t="s">
        <v>9477</v>
      </c>
      <c r="B5815" s="76" t="s">
        <v>10945</v>
      </c>
    </row>
    <row r="5816" spans="1:2" ht="15">
      <c r="A5816" s="77" t="s">
        <v>9478</v>
      </c>
      <c r="B5816" s="76" t="s">
        <v>10945</v>
      </c>
    </row>
    <row r="5817" spans="1:2" ht="15">
      <c r="A5817" s="77" t="s">
        <v>9479</v>
      </c>
      <c r="B5817" s="76" t="s">
        <v>10945</v>
      </c>
    </row>
    <row r="5818" spans="1:2" ht="15">
      <c r="A5818" s="77" t="s">
        <v>9480</v>
      </c>
      <c r="B5818" s="76" t="s">
        <v>10945</v>
      </c>
    </row>
    <row r="5819" spans="1:2" ht="15">
      <c r="A5819" s="77" t="s">
        <v>9481</v>
      </c>
      <c r="B5819" s="76" t="s">
        <v>10945</v>
      </c>
    </row>
    <row r="5820" spans="1:2" ht="15">
      <c r="A5820" s="77" t="s">
        <v>9482</v>
      </c>
      <c r="B5820" s="76" t="s">
        <v>10945</v>
      </c>
    </row>
    <row r="5821" spans="1:2" ht="15">
      <c r="A5821" s="77" t="s">
        <v>9483</v>
      </c>
      <c r="B5821" s="76" t="s">
        <v>10945</v>
      </c>
    </row>
    <row r="5822" spans="1:2" ht="15">
      <c r="A5822" s="77" t="s">
        <v>9484</v>
      </c>
      <c r="B5822" s="76" t="s">
        <v>10945</v>
      </c>
    </row>
    <row r="5823" spans="1:2" ht="15">
      <c r="A5823" s="77" t="s">
        <v>9485</v>
      </c>
      <c r="B5823" s="76" t="s">
        <v>10945</v>
      </c>
    </row>
    <row r="5824" spans="1:2" ht="15">
      <c r="A5824" s="77" t="s">
        <v>9486</v>
      </c>
      <c r="B5824" s="76" t="s">
        <v>10945</v>
      </c>
    </row>
    <row r="5825" spans="1:2" ht="15">
      <c r="A5825" s="77" t="s">
        <v>9487</v>
      </c>
      <c r="B5825" s="76" t="s">
        <v>10945</v>
      </c>
    </row>
    <row r="5826" spans="1:2" ht="15">
      <c r="A5826" s="77" t="s">
        <v>9488</v>
      </c>
      <c r="B5826" s="76" t="s">
        <v>10945</v>
      </c>
    </row>
    <row r="5827" spans="1:2" ht="15">
      <c r="A5827" s="77" t="s">
        <v>9489</v>
      </c>
      <c r="B5827" s="76" t="s">
        <v>10945</v>
      </c>
    </row>
    <row r="5828" spans="1:2" ht="15">
      <c r="A5828" s="77" t="s">
        <v>9490</v>
      </c>
      <c r="B5828" s="76" t="s">
        <v>10945</v>
      </c>
    </row>
    <row r="5829" spans="1:2" ht="15">
      <c r="A5829" s="77" t="s">
        <v>9491</v>
      </c>
      <c r="B5829" s="76" t="s">
        <v>10945</v>
      </c>
    </row>
    <row r="5830" spans="1:2" ht="15">
      <c r="A5830" s="77" t="s">
        <v>9492</v>
      </c>
      <c r="B5830" s="76" t="s">
        <v>10945</v>
      </c>
    </row>
    <row r="5831" spans="1:2" ht="15">
      <c r="A5831" s="77" t="s">
        <v>9493</v>
      </c>
      <c r="B5831" s="76" t="s">
        <v>10945</v>
      </c>
    </row>
    <row r="5832" spans="1:2" ht="15">
      <c r="A5832" s="77" t="s">
        <v>9494</v>
      </c>
      <c r="B5832" s="76" t="s">
        <v>10945</v>
      </c>
    </row>
    <row r="5833" spans="1:2" ht="15">
      <c r="A5833" s="77" t="s">
        <v>9495</v>
      </c>
      <c r="B5833" s="76" t="s">
        <v>10945</v>
      </c>
    </row>
    <row r="5834" spans="1:2" ht="15">
      <c r="A5834" s="77" t="s">
        <v>9496</v>
      </c>
      <c r="B5834" s="76" t="s">
        <v>10945</v>
      </c>
    </row>
    <row r="5835" spans="1:2" ht="15">
      <c r="A5835" s="77" t="s">
        <v>9497</v>
      </c>
      <c r="B5835" s="76" t="s">
        <v>10945</v>
      </c>
    </row>
    <row r="5836" spans="1:2" ht="15">
      <c r="A5836" s="77" t="s">
        <v>9498</v>
      </c>
      <c r="B5836" s="76" t="s">
        <v>10945</v>
      </c>
    </row>
    <row r="5837" spans="1:2" ht="15">
      <c r="A5837" s="77" t="s">
        <v>9499</v>
      </c>
      <c r="B5837" s="76" t="s">
        <v>10945</v>
      </c>
    </row>
    <row r="5838" spans="1:2" ht="15">
      <c r="A5838" s="77" t="s">
        <v>9500</v>
      </c>
      <c r="B5838" s="76" t="s">
        <v>10945</v>
      </c>
    </row>
    <row r="5839" spans="1:2" ht="15">
      <c r="A5839" s="77" t="s">
        <v>9501</v>
      </c>
      <c r="B5839" s="76" t="s">
        <v>10945</v>
      </c>
    </row>
    <row r="5840" spans="1:2" ht="15">
      <c r="A5840" s="77" t="s">
        <v>9502</v>
      </c>
      <c r="B5840" s="76" t="s">
        <v>10945</v>
      </c>
    </row>
    <row r="5841" spans="1:2" ht="15">
      <c r="A5841" s="77" t="s">
        <v>9503</v>
      </c>
      <c r="B5841" s="76" t="s">
        <v>10945</v>
      </c>
    </row>
    <row r="5842" spans="1:2" ht="15">
      <c r="A5842" s="77" t="s">
        <v>9504</v>
      </c>
      <c r="B5842" s="76" t="s">
        <v>10945</v>
      </c>
    </row>
    <row r="5843" spans="1:2" ht="15">
      <c r="A5843" s="77" t="s">
        <v>9505</v>
      </c>
      <c r="B5843" s="76" t="s">
        <v>10945</v>
      </c>
    </row>
    <row r="5844" spans="1:2" ht="15">
      <c r="A5844" s="77" t="s">
        <v>9506</v>
      </c>
      <c r="B5844" s="76" t="s">
        <v>10945</v>
      </c>
    </row>
    <row r="5845" spans="1:2" ht="15">
      <c r="A5845" s="77" t="s">
        <v>9507</v>
      </c>
      <c r="B5845" s="76" t="s">
        <v>10945</v>
      </c>
    </row>
    <row r="5846" spans="1:2" ht="15">
      <c r="A5846" s="77" t="s">
        <v>9508</v>
      </c>
      <c r="B5846" s="76" t="s">
        <v>10945</v>
      </c>
    </row>
    <row r="5847" spans="1:2" ht="15">
      <c r="A5847" s="77" t="s">
        <v>9509</v>
      </c>
      <c r="B5847" s="76" t="s">
        <v>10945</v>
      </c>
    </row>
    <row r="5848" spans="1:2" ht="15">
      <c r="A5848" s="77" t="s">
        <v>9510</v>
      </c>
      <c r="B5848" s="76" t="s">
        <v>10945</v>
      </c>
    </row>
    <row r="5849" spans="1:2" ht="15">
      <c r="A5849" s="77" t="s">
        <v>9511</v>
      </c>
      <c r="B5849" s="76" t="s">
        <v>10945</v>
      </c>
    </row>
    <row r="5850" spans="1:2" ht="15">
      <c r="A5850" s="77" t="s">
        <v>9512</v>
      </c>
      <c r="B5850" s="76" t="s">
        <v>10945</v>
      </c>
    </row>
    <row r="5851" spans="1:2" ht="15">
      <c r="A5851" s="77" t="s">
        <v>9513</v>
      </c>
      <c r="B5851" s="76" t="s">
        <v>10945</v>
      </c>
    </row>
    <row r="5852" spans="1:2" ht="15">
      <c r="A5852" s="77" t="s">
        <v>9514</v>
      </c>
      <c r="B5852" s="76" t="s">
        <v>10945</v>
      </c>
    </row>
    <row r="5853" spans="1:2" ht="15">
      <c r="A5853" s="77" t="s">
        <v>9515</v>
      </c>
      <c r="B5853" s="76" t="s">
        <v>10945</v>
      </c>
    </row>
    <row r="5854" spans="1:2" ht="15">
      <c r="A5854" s="77" t="s">
        <v>9516</v>
      </c>
      <c r="B5854" s="76" t="s">
        <v>10945</v>
      </c>
    </row>
    <row r="5855" spans="1:2" ht="15">
      <c r="A5855" s="77" t="s">
        <v>9517</v>
      </c>
      <c r="B5855" s="76" t="s">
        <v>10945</v>
      </c>
    </row>
    <row r="5856" spans="1:2" ht="15">
      <c r="A5856" s="77" t="s">
        <v>9518</v>
      </c>
      <c r="B5856" s="76" t="s">
        <v>10945</v>
      </c>
    </row>
    <row r="5857" spans="1:2" ht="15">
      <c r="A5857" s="77" t="s">
        <v>9519</v>
      </c>
      <c r="B5857" s="76" t="s">
        <v>10945</v>
      </c>
    </row>
    <row r="5858" spans="1:2" ht="15">
      <c r="A5858" s="77" t="s">
        <v>9520</v>
      </c>
      <c r="B5858" s="76" t="s">
        <v>10945</v>
      </c>
    </row>
    <row r="5859" spans="1:2" ht="15">
      <c r="A5859" s="77" t="s">
        <v>9521</v>
      </c>
      <c r="B5859" s="76" t="s">
        <v>10945</v>
      </c>
    </row>
    <row r="5860" spans="1:2" ht="15">
      <c r="A5860" s="77" t="s">
        <v>9522</v>
      </c>
      <c r="B5860" s="76" t="s">
        <v>10945</v>
      </c>
    </row>
    <row r="5861" spans="1:2" ht="15">
      <c r="A5861" s="77" t="s">
        <v>9523</v>
      </c>
      <c r="B5861" s="76" t="s">
        <v>10945</v>
      </c>
    </row>
    <row r="5862" spans="1:2" ht="15">
      <c r="A5862" s="77" t="s">
        <v>9524</v>
      </c>
      <c r="B5862" s="76" t="s">
        <v>10945</v>
      </c>
    </row>
    <row r="5863" spans="1:2" ht="15">
      <c r="A5863" s="77" t="s">
        <v>9525</v>
      </c>
      <c r="B5863" s="76" t="s">
        <v>10945</v>
      </c>
    </row>
    <row r="5864" spans="1:2" ht="15">
      <c r="A5864" s="77" t="s">
        <v>9526</v>
      </c>
      <c r="B5864" s="76" t="s">
        <v>10945</v>
      </c>
    </row>
    <row r="5865" spans="1:2" ht="15">
      <c r="A5865" s="77" t="s">
        <v>9527</v>
      </c>
      <c r="B5865" s="76" t="s">
        <v>10945</v>
      </c>
    </row>
    <row r="5866" spans="1:2" ht="15">
      <c r="A5866" s="77" t="s">
        <v>3344</v>
      </c>
      <c r="B5866" s="76" t="s">
        <v>10945</v>
      </c>
    </row>
    <row r="5867" spans="1:2" ht="15">
      <c r="A5867" s="77" t="s">
        <v>9528</v>
      </c>
      <c r="B5867" s="76" t="s">
        <v>10945</v>
      </c>
    </row>
    <row r="5868" spans="1:2" ht="15">
      <c r="A5868" s="77" t="s">
        <v>9529</v>
      </c>
      <c r="B5868" s="76" t="s">
        <v>10945</v>
      </c>
    </row>
    <row r="5869" spans="1:2" ht="15">
      <c r="A5869" s="77" t="s">
        <v>9530</v>
      </c>
      <c r="B5869" s="76" t="s">
        <v>10945</v>
      </c>
    </row>
    <row r="5870" spans="1:2" ht="15">
      <c r="A5870" s="77" t="s">
        <v>9531</v>
      </c>
      <c r="B5870" s="76" t="s">
        <v>10945</v>
      </c>
    </row>
    <row r="5871" spans="1:2" ht="15">
      <c r="A5871" s="77" t="s">
        <v>9532</v>
      </c>
      <c r="B5871" s="76" t="s">
        <v>10945</v>
      </c>
    </row>
    <row r="5872" spans="1:2" ht="15">
      <c r="A5872" s="77" t="s">
        <v>9533</v>
      </c>
      <c r="B5872" s="76" t="s">
        <v>10945</v>
      </c>
    </row>
    <row r="5873" spans="1:2" ht="15">
      <c r="A5873" s="77" t="s">
        <v>9534</v>
      </c>
      <c r="B5873" s="76" t="s">
        <v>10945</v>
      </c>
    </row>
    <row r="5874" spans="1:2" ht="15">
      <c r="A5874" s="77" t="s">
        <v>9535</v>
      </c>
      <c r="B5874" s="76" t="s">
        <v>10945</v>
      </c>
    </row>
    <row r="5875" spans="1:2" ht="15">
      <c r="A5875" s="77" t="s">
        <v>9536</v>
      </c>
      <c r="B5875" s="76" t="s">
        <v>10945</v>
      </c>
    </row>
    <row r="5876" spans="1:2" ht="15">
      <c r="A5876" s="77" t="s">
        <v>9537</v>
      </c>
      <c r="B5876" s="76" t="s">
        <v>10945</v>
      </c>
    </row>
    <row r="5877" spans="1:2" ht="15">
      <c r="A5877" s="77" t="s">
        <v>9538</v>
      </c>
      <c r="B5877" s="76" t="s">
        <v>10945</v>
      </c>
    </row>
    <row r="5878" spans="1:2" ht="15">
      <c r="A5878" s="77" t="s">
        <v>9539</v>
      </c>
      <c r="B5878" s="76" t="s">
        <v>10945</v>
      </c>
    </row>
    <row r="5879" spans="1:2" ht="15">
      <c r="A5879" s="77" t="s">
        <v>9540</v>
      </c>
      <c r="B5879" s="76" t="s">
        <v>10945</v>
      </c>
    </row>
    <row r="5880" spans="1:2" ht="15">
      <c r="A5880" s="77" t="s">
        <v>9541</v>
      </c>
      <c r="B5880" s="76" t="s">
        <v>10945</v>
      </c>
    </row>
    <row r="5881" spans="1:2" ht="15">
      <c r="A5881" s="77" t="s">
        <v>9542</v>
      </c>
      <c r="B5881" s="76" t="s">
        <v>10945</v>
      </c>
    </row>
    <row r="5882" spans="1:2" ht="15">
      <c r="A5882" s="77" t="s">
        <v>9543</v>
      </c>
      <c r="B5882" s="76" t="s">
        <v>10945</v>
      </c>
    </row>
    <row r="5883" spans="1:2" ht="15">
      <c r="A5883" s="77" t="s">
        <v>9544</v>
      </c>
      <c r="B5883" s="76" t="s">
        <v>10945</v>
      </c>
    </row>
    <row r="5884" spans="1:2" ht="15">
      <c r="A5884" s="77" t="s">
        <v>9545</v>
      </c>
      <c r="B5884" s="76" t="s">
        <v>10945</v>
      </c>
    </row>
    <row r="5885" spans="1:2" ht="15">
      <c r="A5885" s="77" t="s">
        <v>9546</v>
      </c>
      <c r="B5885" s="76" t="s">
        <v>10945</v>
      </c>
    </row>
    <row r="5886" spans="1:2" ht="15">
      <c r="A5886" s="77" t="s">
        <v>9547</v>
      </c>
      <c r="B5886" s="76" t="s">
        <v>10945</v>
      </c>
    </row>
    <row r="5887" spans="1:2" ht="15">
      <c r="A5887" s="77" t="s">
        <v>9548</v>
      </c>
      <c r="B5887" s="76" t="s">
        <v>10945</v>
      </c>
    </row>
    <row r="5888" spans="1:2" ht="15">
      <c r="A5888" s="77" t="s">
        <v>9549</v>
      </c>
      <c r="B5888" s="76" t="s">
        <v>10945</v>
      </c>
    </row>
    <row r="5889" spans="1:2" ht="15">
      <c r="A5889" s="77" t="s">
        <v>9550</v>
      </c>
      <c r="B5889" s="76" t="s">
        <v>10945</v>
      </c>
    </row>
    <row r="5890" spans="1:2" ht="15">
      <c r="A5890" s="77" t="s">
        <v>9551</v>
      </c>
      <c r="B5890" s="76" t="s">
        <v>10945</v>
      </c>
    </row>
    <row r="5891" spans="1:2" ht="15">
      <c r="A5891" s="77" t="s">
        <v>9552</v>
      </c>
      <c r="B5891" s="76" t="s">
        <v>10945</v>
      </c>
    </row>
    <row r="5892" spans="1:2" ht="15">
      <c r="A5892" s="77" t="s">
        <v>9553</v>
      </c>
      <c r="B5892" s="76" t="s">
        <v>10945</v>
      </c>
    </row>
    <row r="5893" spans="1:2" ht="15">
      <c r="A5893" s="77" t="s">
        <v>9554</v>
      </c>
      <c r="B5893" s="76" t="s">
        <v>10945</v>
      </c>
    </row>
    <row r="5894" spans="1:2" ht="15">
      <c r="A5894" s="77" t="s">
        <v>9555</v>
      </c>
      <c r="B5894" s="76" t="s">
        <v>10945</v>
      </c>
    </row>
    <row r="5895" spans="1:2" ht="15">
      <c r="A5895" s="77" t="s">
        <v>9556</v>
      </c>
      <c r="B5895" s="76" t="s">
        <v>10945</v>
      </c>
    </row>
    <row r="5896" spans="1:2" ht="15">
      <c r="A5896" s="77" t="s">
        <v>9557</v>
      </c>
      <c r="B5896" s="76" t="s">
        <v>10945</v>
      </c>
    </row>
    <row r="5897" spans="1:2" ht="15">
      <c r="A5897" s="77" t="s">
        <v>9558</v>
      </c>
      <c r="B5897" s="76" t="s">
        <v>10945</v>
      </c>
    </row>
    <row r="5898" spans="1:2" ht="15">
      <c r="A5898" s="77" t="s">
        <v>9559</v>
      </c>
      <c r="B5898" s="76" t="s">
        <v>10945</v>
      </c>
    </row>
    <row r="5899" spans="1:2" ht="15">
      <c r="A5899" s="77" t="s">
        <v>9560</v>
      </c>
      <c r="B5899" s="76" t="s">
        <v>10945</v>
      </c>
    </row>
    <row r="5900" spans="1:2" ht="15">
      <c r="A5900" s="77" t="s">
        <v>9561</v>
      </c>
      <c r="B5900" s="76" t="s">
        <v>10945</v>
      </c>
    </row>
    <row r="5901" spans="1:2" ht="15">
      <c r="A5901" s="77" t="s">
        <v>9562</v>
      </c>
      <c r="B5901" s="76" t="s">
        <v>10945</v>
      </c>
    </row>
    <row r="5902" spans="1:2" ht="15">
      <c r="A5902" s="77" t="s">
        <v>9563</v>
      </c>
      <c r="B5902" s="76" t="s">
        <v>10945</v>
      </c>
    </row>
    <row r="5903" spans="1:2" ht="15">
      <c r="A5903" s="77" t="s">
        <v>9564</v>
      </c>
      <c r="B5903" s="76" t="s">
        <v>10945</v>
      </c>
    </row>
    <row r="5904" spans="1:2" ht="15">
      <c r="A5904" s="77" t="s">
        <v>9565</v>
      </c>
      <c r="B5904" s="76" t="s">
        <v>10945</v>
      </c>
    </row>
    <row r="5905" spans="1:2" ht="15">
      <c r="A5905" s="77" t="s">
        <v>9566</v>
      </c>
      <c r="B5905" s="76" t="s">
        <v>10945</v>
      </c>
    </row>
    <row r="5906" spans="1:2" ht="15">
      <c r="A5906" s="77" t="s">
        <v>9567</v>
      </c>
      <c r="B5906" s="76" t="s">
        <v>10945</v>
      </c>
    </row>
    <row r="5907" spans="1:2" ht="15">
      <c r="A5907" s="77" t="s">
        <v>9568</v>
      </c>
      <c r="B5907" s="76" t="s">
        <v>10945</v>
      </c>
    </row>
    <row r="5908" spans="1:2" ht="15">
      <c r="A5908" s="77" t="s">
        <v>9569</v>
      </c>
      <c r="B5908" s="76" t="s">
        <v>10945</v>
      </c>
    </row>
    <row r="5909" spans="1:2" ht="15">
      <c r="A5909" s="77" t="s">
        <v>3304</v>
      </c>
      <c r="B5909" s="76" t="s">
        <v>10945</v>
      </c>
    </row>
    <row r="5910" spans="1:2" ht="15">
      <c r="A5910" s="77" t="s">
        <v>9570</v>
      </c>
      <c r="B5910" s="76" t="s">
        <v>10945</v>
      </c>
    </row>
    <row r="5911" spans="1:2" ht="15">
      <c r="A5911" s="77" t="s">
        <v>9571</v>
      </c>
      <c r="B5911" s="76" t="s">
        <v>10945</v>
      </c>
    </row>
    <row r="5912" spans="1:2" ht="15">
      <c r="A5912" s="77" t="s">
        <v>9572</v>
      </c>
      <c r="B5912" s="76" t="s">
        <v>10945</v>
      </c>
    </row>
    <row r="5913" spans="1:2" ht="15">
      <c r="A5913" s="77" t="s">
        <v>9573</v>
      </c>
      <c r="B5913" s="76" t="s">
        <v>10945</v>
      </c>
    </row>
    <row r="5914" spans="1:2" ht="15">
      <c r="A5914" s="77" t="s">
        <v>9574</v>
      </c>
      <c r="B5914" s="76" t="s">
        <v>10945</v>
      </c>
    </row>
    <row r="5915" spans="1:2" ht="15">
      <c r="A5915" s="77" t="s">
        <v>9575</v>
      </c>
      <c r="B5915" s="76" t="s">
        <v>10945</v>
      </c>
    </row>
    <row r="5916" spans="1:2" ht="15">
      <c r="A5916" s="77" t="s">
        <v>9576</v>
      </c>
      <c r="B5916" s="76" t="s">
        <v>10945</v>
      </c>
    </row>
    <row r="5917" spans="1:2" ht="15">
      <c r="A5917" s="77" t="s">
        <v>9577</v>
      </c>
      <c r="B5917" s="76" t="s">
        <v>10945</v>
      </c>
    </row>
    <row r="5918" spans="1:2" ht="15">
      <c r="A5918" s="77" t="s">
        <v>9578</v>
      </c>
      <c r="B5918" s="76" t="s">
        <v>10945</v>
      </c>
    </row>
    <row r="5919" spans="1:2" ht="15">
      <c r="A5919" s="77" t="s">
        <v>9579</v>
      </c>
      <c r="B5919" s="76" t="s">
        <v>10945</v>
      </c>
    </row>
    <row r="5920" spans="1:2" ht="15">
      <c r="A5920" s="77" t="s">
        <v>9580</v>
      </c>
      <c r="B5920" s="76" t="s">
        <v>10945</v>
      </c>
    </row>
    <row r="5921" spans="1:2" ht="15">
      <c r="A5921" s="77" t="s">
        <v>9581</v>
      </c>
      <c r="B5921" s="76" t="s">
        <v>10945</v>
      </c>
    </row>
    <row r="5922" spans="1:2" ht="15">
      <c r="A5922" s="77" t="s">
        <v>9582</v>
      </c>
      <c r="B5922" s="76" t="s">
        <v>10945</v>
      </c>
    </row>
    <row r="5923" spans="1:2" ht="15">
      <c r="A5923" s="77" t="s">
        <v>9583</v>
      </c>
      <c r="B5923" s="76" t="s">
        <v>10945</v>
      </c>
    </row>
    <row r="5924" spans="1:2" ht="15">
      <c r="A5924" s="77" t="s">
        <v>9584</v>
      </c>
      <c r="B5924" s="76" t="s">
        <v>10945</v>
      </c>
    </row>
    <row r="5925" spans="1:2" ht="15">
      <c r="A5925" s="77" t="s">
        <v>9585</v>
      </c>
      <c r="B5925" s="76" t="s">
        <v>10945</v>
      </c>
    </row>
    <row r="5926" spans="1:2" ht="15">
      <c r="A5926" s="77" t="s">
        <v>9586</v>
      </c>
      <c r="B5926" s="76" t="s">
        <v>10945</v>
      </c>
    </row>
    <row r="5927" spans="1:2" ht="15">
      <c r="A5927" s="77" t="s">
        <v>9587</v>
      </c>
      <c r="B5927" s="76" t="s">
        <v>10945</v>
      </c>
    </row>
    <row r="5928" spans="1:2" ht="15">
      <c r="A5928" s="77" t="s">
        <v>9588</v>
      </c>
      <c r="B5928" s="76" t="s">
        <v>10945</v>
      </c>
    </row>
    <row r="5929" spans="1:2" ht="15">
      <c r="A5929" s="77" t="s">
        <v>9589</v>
      </c>
      <c r="B5929" s="76" t="s">
        <v>10945</v>
      </c>
    </row>
    <row r="5930" spans="1:2" ht="15">
      <c r="A5930" s="77" t="s">
        <v>9590</v>
      </c>
      <c r="B5930" s="76" t="s">
        <v>10945</v>
      </c>
    </row>
    <row r="5931" spans="1:2" ht="15">
      <c r="A5931" s="77" t="s">
        <v>9591</v>
      </c>
      <c r="B5931" s="76" t="s">
        <v>10945</v>
      </c>
    </row>
    <row r="5932" spans="1:2" ht="15">
      <c r="A5932" s="77" t="s">
        <v>9592</v>
      </c>
      <c r="B5932" s="76" t="s">
        <v>10945</v>
      </c>
    </row>
    <row r="5933" spans="1:2" ht="15">
      <c r="A5933" s="77" t="s">
        <v>9593</v>
      </c>
      <c r="B5933" s="76" t="s">
        <v>10945</v>
      </c>
    </row>
    <row r="5934" spans="1:2" ht="15">
      <c r="A5934" s="77" t="s">
        <v>9594</v>
      </c>
      <c r="B5934" s="76" t="s">
        <v>10945</v>
      </c>
    </row>
    <row r="5935" spans="1:2" ht="15">
      <c r="A5935" s="77" t="s">
        <v>9595</v>
      </c>
      <c r="B5935" s="76" t="s">
        <v>10945</v>
      </c>
    </row>
    <row r="5936" spans="1:2" ht="15">
      <c r="A5936" s="77" t="s">
        <v>9596</v>
      </c>
      <c r="B5936" s="76" t="s">
        <v>10945</v>
      </c>
    </row>
    <row r="5937" spans="1:2" ht="15">
      <c r="A5937" s="77" t="s">
        <v>9597</v>
      </c>
      <c r="B5937" s="76" t="s">
        <v>10945</v>
      </c>
    </row>
    <row r="5938" spans="1:2" ht="15">
      <c r="A5938" s="77" t="s">
        <v>9598</v>
      </c>
      <c r="B5938" s="76" t="s">
        <v>10945</v>
      </c>
    </row>
    <row r="5939" spans="1:2" ht="15">
      <c r="A5939" s="77" t="s">
        <v>9599</v>
      </c>
      <c r="B5939" s="76" t="s">
        <v>10945</v>
      </c>
    </row>
    <row r="5940" spans="1:2" ht="15">
      <c r="A5940" s="77" t="s">
        <v>9600</v>
      </c>
      <c r="B5940" s="76" t="s">
        <v>10945</v>
      </c>
    </row>
    <row r="5941" spans="1:2" ht="15">
      <c r="A5941" s="77" t="s">
        <v>9601</v>
      </c>
      <c r="B5941" s="76" t="s">
        <v>10945</v>
      </c>
    </row>
    <row r="5942" spans="1:2" ht="15">
      <c r="A5942" s="77" t="s">
        <v>9602</v>
      </c>
      <c r="B5942" s="76" t="s">
        <v>10945</v>
      </c>
    </row>
    <row r="5943" spans="1:2" ht="15">
      <c r="A5943" s="77" t="s">
        <v>9603</v>
      </c>
      <c r="B5943" s="76" t="s">
        <v>10945</v>
      </c>
    </row>
    <row r="5944" spans="1:2" ht="15">
      <c r="A5944" s="77" t="s">
        <v>9604</v>
      </c>
      <c r="B5944" s="76" t="s">
        <v>10945</v>
      </c>
    </row>
    <row r="5945" spans="1:2" ht="15">
      <c r="A5945" s="77" t="s">
        <v>9605</v>
      </c>
      <c r="B5945" s="76" t="s">
        <v>10945</v>
      </c>
    </row>
    <row r="5946" spans="1:2" ht="15">
      <c r="A5946" s="77" t="s">
        <v>9606</v>
      </c>
      <c r="B5946" s="76" t="s">
        <v>10945</v>
      </c>
    </row>
    <row r="5947" spans="1:2" ht="15">
      <c r="A5947" s="77" t="s">
        <v>9607</v>
      </c>
      <c r="B5947" s="76" t="s">
        <v>10945</v>
      </c>
    </row>
    <row r="5948" spans="1:2" ht="15">
      <c r="A5948" s="77" t="s">
        <v>9608</v>
      </c>
      <c r="B5948" s="76" t="s">
        <v>10945</v>
      </c>
    </row>
    <row r="5949" spans="1:2" ht="15">
      <c r="A5949" s="77" t="s">
        <v>9609</v>
      </c>
      <c r="B5949" s="76" t="s">
        <v>10945</v>
      </c>
    </row>
    <row r="5950" spans="1:2" ht="15">
      <c r="A5950" s="77" t="s">
        <v>9610</v>
      </c>
      <c r="B5950" s="76" t="s">
        <v>10945</v>
      </c>
    </row>
    <row r="5951" spans="1:2" ht="15">
      <c r="A5951" s="77" t="s">
        <v>9611</v>
      </c>
      <c r="B5951" s="76" t="s">
        <v>10945</v>
      </c>
    </row>
    <row r="5952" spans="1:2" ht="15">
      <c r="A5952" s="77" t="s">
        <v>9612</v>
      </c>
      <c r="B5952" s="76" t="s">
        <v>10945</v>
      </c>
    </row>
    <row r="5953" spans="1:2" ht="15">
      <c r="A5953" s="77" t="s">
        <v>9613</v>
      </c>
      <c r="B5953" s="76" t="s">
        <v>10945</v>
      </c>
    </row>
    <row r="5954" spans="1:2" ht="15">
      <c r="A5954" s="77" t="s">
        <v>9614</v>
      </c>
      <c r="B5954" s="76" t="s">
        <v>10945</v>
      </c>
    </row>
    <row r="5955" spans="1:2" ht="15">
      <c r="A5955" s="77" t="s">
        <v>9615</v>
      </c>
      <c r="B5955" s="76" t="s">
        <v>10945</v>
      </c>
    </row>
    <row r="5956" spans="1:2" ht="15">
      <c r="A5956" s="77" t="s">
        <v>9616</v>
      </c>
      <c r="B5956" s="76" t="s">
        <v>10945</v>
      </c>
    </row>
    <row r="5957" spans="1:2" ht="15">
      <c r="A5957" s="77" t="s">
        <v>9617</v>
      </c>
      <c r="B5957" s="76" t="s">
        <v>10945</v>
      </c>
    </row>
    <row r="5958" spans="1:2" ht="15">
      <c r="A5958" s="77" t="s">
        <v>9618</v>
      </c>
      <c r="B5958" s="76" t="s">
        <v>10945</v>
      </c>
    </row>
    <row r="5959" spans="1:2" ht="15">
      <c r="A5959" s="77" t="s">
        <v>9619</v>
      </c>
      <c r="B5959" s="76" t="s">
        <v>10945</v>
      </c>
    </row>
    <row r="5960" spans="1:2" ht="15">
      <c r="A5960" s="77" t="s">
        <v>9620</v>
      </c>
      <c r="B5960" s="76" t="s">
        <v>10945</v>
      </c>
    </row>
    <row r="5961" spans="1:2" ht="15">
      <c r="A5961" s="77" t="s">
        <v>9621</v>
      </c>
      <c r="B5961" s="76" t="s">
        <v>10945</v>
      </c>
    </row>
    <row r="5962" spans="1:2" ht="15">
      <c r="A5962" s="77" t="s">
        <v>9622</v>
      </c>
      <c r="B5962" s="76" t="s">
        <v>10945</v>
      </c>
    </row>
    <row r="5963" spans="1:2" ht="15">
      <c r="A5963" s="77" t="s">
        <v>3372</v>
      </c>
      <c r="B5963" s="76" t="s">
        <v>10945</v>
      </c>
    </row>
    <row r="5964" spans="1:2" ht="15">
      <c r="A5964" s="77" t="s">
        <v>9623</v>
      </c>
      <c r="B5964" s="76" t="s">
        <v>10945</v>
      </c>
    </row>
    <row r="5965" spans="1:2" ht="15">
      <c r="A5965" s="77" t="s">
        <v>9624</v>
      </c>
      <c r="B5965" s="76" t="s">
        <v>10945</v>
      </c>
    </row>
    <row r="5966" spans="1:2" ht="15">
      <c r="A5966" s="77" t="s">
        <v>9625</v>
      </c>
      <c r="B5966" s="76" t="s">
        <v>10945</v>
      </c>
    </row>
    <row r="5967" spans="1:2" ht="15">
      <c r="A5967" s="77" t="s">
        <v>9626</v>
      </c>
      <c r="B5967" s="76" t="s">
        <v>10945</v>
      </c>
    </row>
    <row r="5968" spans="1:2" ht="15">
      <c r="A5968" s="77" t="s">
        <v>9627</v>
      </c>
      <c r="B5968" s="76" t="s">
        <v>10945</v>
      </c>
    </row>
    <row r="5969" spans="1:2" ht="15">
      <c r="A5969" s="77" t="s">
        <v>9628</v>
      </c>
      <c r="B5969" s="76" t="s">
        <v>10945</v>
      </c>
    </row>
    <row r="5970" spans="1:2" ht="15">
      <c r="A5970" s="77" t="s">
        <v>9629</v>
      </c>
      <c r="B5970" s="76" t="s">
        <v>10945</v>
      </c>
    </row>
    <row r="5971" spans="1:2" ht="15">
      <c r="A5971" s="77" t="s">
        <v>9630</v>
      </c>
      <c r="B5971" s="76" t="s">
        <v>10945</v>
      </c>
    </row>
    <row r="5972" spans="1:2" ht="15">
      <c r="A5972" s="77" t="s">
        <v>9631</v>
      </c>
      <c r="B5972" s="76" t="s">
        <v>10945</v>
      </c>
    </row>
    <row r="5973" spans="1:2" ht="15">
      <c r="A5973" s="77" t="s">
        <v>9632</v>
      </c>
      <c r="B5973" s="76" t="s">
        <v>10945</v>
      </c>
    </row>
    <row r="5974" spans="1:2" ht="15">
      <c r="A5974" s="77" t="s">
        <v>9633</v>
      </c>
      <c r="B5974" s="76" t="s">
        <v>10945</v>
      </c>
    </row>
    <row r="5975" spans="1:2" ht="15">
      <c r="A5975" s="77" t="s">
        <v>9634</v>
      </c>
      <c r="B5975" s="76" t="s">
        <v>10945</v>
      </c>
    </row>
    <row r="5976" spans="1:2" ht="15">
      <c r="A5976" s="77" t="s">
        <v>9635</v>
      </c>
      <c r="B5976" s="76" t="s">
        <v>10945</v>
      </c>
    </row>
    <row r="5977" spans="1:2" ht="15">
      <c r="A5977" s="77" t="s">
        <v>9636</v>
      </c>
      <c r="B5977" s="76" t="s">
        <v>10945</v>
      </c>
    </row>
    <row r="5978" spans="1:2" ht="15">
      <c r="A5978" s="77" t="s">
        <v>9637</v>
      </c>
      <c r="B5978" s="76" t="s">
        <v>10945</v>
      </c>
    </row>
    <row r="5979" spans="1:2" ht="15">
      <c r="A5979" s="77" t="s">
        <v>9638</v>
      </c>
      <c r="B5979" s="76" t="s">
        <v>10945</v>
      </c>
    </row>
    <row r="5980" spans="1:2" ht="15">
      <c r="A5980" s="77" t="s">
        <v>9639</v>
      </c>
      <c r="B5980" s="76" t="s">
        <v>10945</v>
      </c>
    </row>
    <row r="5981" spans="1:2" ht="15">
      <c r="A5981" s="77" t="s">
        <v>9640</v>
      </c>
      <c r="B5981" s="76" t="s">
        <v>10945</v>
      </c>
    </row>
    <row r="5982" spans="1:2" ht="15">
      <c r="A5982" s="77" t="s">
        <v>9641</v>
      </c>
      <c r="B5982" s="76" t="s">
        <v>10945</v>
      </c>
    </row>
    <row r="5983" spans="1:2" ht="15">
      <c r="A5983" s="77" t="s">
        <v>9642</v>
      </c>
      <c r="B5983" s="76" t="s">
        <v>10945</v>
      </c>
    </row>
    <row r="5984" spans="1:2" ht="15">
      <c r="A5984" s="77" t="s">
        <v>9643</v>
      </c>
      <c r="B5984" s="76" t="s">
        <v>10945</v>
      </c>
    </row>
    <row r="5985" spans="1:2" ht="15">
      <c r="A5985" s="77" t="s">
        <v>9644</v>
      </c>
      <c r="B5985" s="76" t="s">
        <v>10945</v>
      </c>
    </row>
    <row r="5986" spans="1:2" ht="15">
      <c r="A5986" s="77" t="s">
        <v>9645</v>
      </c>
      <c r="B5986" s="76" t="s">
        <v>10945</v>
      </c>
    </row>
    <row r="5987" spans="1:2" ht="15">
      <c r="A5987" s="77" t="s">
        <v>9646</v>
      </c>
      <c r="B5987" s="76" t="s">
        <v>10945</v>
      </c>
    </row>
    <row r="5988" spans="1:2" ht="15">
      <c r="A5988" s="77" t="s">
        <v>9647</v>
      </c>
      <c r="B5988" s="76" t="s">
        <v>10945</v>
      </c>
    </row>
    <row r="5989" spans="1:2" ht="15">
      <c r="A5989" s="77" t="s">
        <v>9648</v>
      </c>
      <c r="B5989" s="76" t="s">
        <v>10945</v>
      </c>
    </row>
    <row r="5990" spans="1:2" ht="15">
      <c r="A5990" s="77" t="s">
        <v>9649</v>
      </c>
      <c r="B5990" s="76" t="s">
        <v>10945</v>
      </c>
    </row>
    <row r="5991" spans="1:2" ht="15">
      <c r="A5991" s="77" t="s">
        <v>9650</v>
      </c>
      <c r="B5991" s="76" t="s">
        <v>10945</v>
      </c>
    </row>
    <row r="5992" spans="1:2" ht="15">
      <c r="A5992" s="77" t="s">
        <v>9651</v>
      </c>
      <c r="B5992" s="76" t="s">
        <v>10945</v>
      </c>
    </row>
    <row r="5993" spans="1:2" ht="15">
      <c r="A5993" s="77" t="s">
        <v>9652</v>
      </c>
      <c r="B5993" s="76" t="s">
        <v>10945</v>
      </c>
    </row>
    <row r="5994" spans="1:2" ht="15">
      <c r="A5994" s="77" t="s">
        <v>9653</v>
      </c>
      <c r="B5994" s="76" t="s">
        <v>10945</v>
      </c>
    </row>
    <row r="5995" spans="1:2" ht="15">
      <c r="A5995" s="77" t="s">
        <v>9654</v>
      </c>
      <c r="B5995" s="76" t="s">
        <v>10945</v>
      </c>
    </row>
    <row r="5996" spans="1:2" ht="15">
      <c r="A5996" s="77" t="s">
        <v>9655</v>
      </c>
      <c r="B5996" s="76" t="s">
        <v>10945</v>
      </c>
    </row>
    <row r="5997" spans="1:2" ht="15">
      <c r="A5997" s="77" t="s">
        <v>9656</v>
      </c>
      <c r="B5997" s="76" t="s">
        <v>10945</v>
      </c>
    </row>
    <row r="5998" spans="1:2" ht="15">
      <c r="A5998" s="77" t="s">
        <v>9657</v>
      </c>
      <c r="B5998" s="76" t="s">
        <v>10945</v>
      </c>
    </row>
    <row r="5999" spans="1:2" ht="15">
      <c r="A5999" s="77" t="s">
        <v>9658</v>
      </c>
      <c r="B5999" s="76" t="s">
        <v>10945</v>
      </c>
    </row>
    <row r="6000" spans="1:2" ht="15">
      <c r="A6000" s="77" t="s">
        <v>9659</v>
      </c>
      <c r="B6000" s="76" t="s">
        <v>10945</v>
      </c>
    </row>
    <row r="6001" spans="1:2" ht="15">
      <c r="A6001" s="77" t="s">
        <v>9660</v>
      </c>
      <c r="B6001" s="76" t="s">
        <v>10945</v>
      </c>
    </row>
    <row r="6002" spans="1:2" ht="15">
      <c r="A6002" s="77" t="s">
        <v>9661</v>
      </c>
      <c r="B6002" s="76" t="s">
        <v>10945</v>
      </c>
    </row>
    <row r="6003" spans="1:2" ht="15">
      <c r="A6003" s="77" t="s">
        <v>9662</v>
      </c>
      <c r="B6003" s="76" t="s">
        <v>10945</v>
      </c>
    </row>
    <row r="6004" spans="1:2" ht="15">
      <c r="A6004" s="77" t="s">
        <v>9663</v>
      </c>
      <c r="B6004" s="76" t="s">
        <v>10945</v>
      </c>
    </row>
    <row r="6005" spans="1:2" ht="15">
      <c r="A6005" s="77" t="s">
        <v>9664</v>
      </c>
      <c r="B6005" s="76" t="s">
        <v>10945</v>
      </c>
    </row>
    <row r="6006" spans="1:2" ht="15">
      <c r="A6006" s="77" t="s">
        <v>9665</v>
      </c>
      <c r="B6006" s="76" t="s">
        <v>10945</v>
      </c>
    </row>
    <row r="6007" spans="1:2" ht="15">
      <c r="A6007" s="77" t="s">
        <v>9666</v>
      </c>
      <c r="B6007" s="76" t="s">
        <v>10945</v>
      </c>
    </row>
    <row r="6008" spans="1:2" ht="15">
      <c r="A6008" s="77" t="s">
        <v>9667</v>
      </c>
      <c r="B6008" s="76" t="s">
        <v>10945</v>
      </c>
    </row>
    <row r="6009" spans="1:2" ht="15">
      <c r="A6009" s="77" t="s">
        <v>9668</v>
      </c>
      <c r="B6009" s="76" t="s">
        <v>10945</v>
      </c>
    </row>
    <row r="6010" spans="1:2" ht="15">
      <c r="A6010" s="77" t="s">
        <v>9669</v>
      </c>
      <c r="B6010" s="76" t="s">
        <v>10945</v>
      </c>
    </row>
    <row r="6011" spans="1:2" ht="15">
      <c r="A6011" s="77" t="s">
        <v>9670</v>
      </c>
      <c r="B6011" s="76" t="s">
        <v>10945</v>
      </c>
    </row>
    <row r="6012" spans="1:2" ht="15">
      <c r="A6012" s="77" t="s">
        <v>9671</v>
      </c>
      <c r="B6012" s="76" t="s">
        <v>10945</v>
      </c>
    </row>
    <row r="6013" spans="1:2" ht="15">
      <c r="A6013" s="77" t="s">
        <v>9672</v>
      </c>
      <c r="B6013" s="76" t="s">
        <v>10945</v>
      </c>
    </row>
    <row r="6014" spans="1:2" ht="15">
      <c r="A6014" s="77" t="s">
        <v>9673</v>
      </c>
      <c r="B6014" s="76" t="s">
        <v>10945</v>
      </c>
    </row>
    <row r="6015" spans="1:2" ht="15">
      <c r="A6015" s="77" t="s">
        <v>9674</v>
      </c>
      <c r="B6015" s="76" t="s">
        <v>10945</v>
      </c>
    </row>
    <row r="6016" spans="1:2" ht="15">
      <c r="A6016" s="77" t="s">
        <v>9675</v>
      </c>
      <c r="B6016" s="76" t="s">
        <v>10945</v>
      </c>
    </row>
    <row r="6017" spans="1:2" ht="15">
      <c r="A6017" s="77" t="s">
        <v>9676</v>
      </c>
      <c r="B6017" s="76" t="s">
        <v>10945</v>
      </c>
    </row>
    <row r="6018" spans="1:2" ht="15">
      <c r="A6018" s="77" t="s">
        <v>9677</v>
      </c>
      <c r="B6018" s="76" t="s">
        <v>10945</v>
      </c>
    </row>
    <row r="6019" spans="1:2" ht="15">
      <c r="A6019" s="77" t="s">
        <v>9678</v>
      </c>
      <c r="B6019" s="76" t="s">
        <v>10945</v>
      </c>
    </row>
    <row r="6020" spans="1:2" ht="15">
      <c r="A6020" s="77" t="s">
        <v>9679</v>
      </c>
      <c r="B6020" s="76" t="s">
        <v>10945</v>
      </c>
    </row>
    <row r="6021" spans="1:2" ht="15">
      <c r="A6021" s="77" t="s">
        <v>9680</v>
      </c>
      <c r="B6021" s="76" t="s">
        <v>10945</v>
      </c>
    </row>
    <row r="6022" spans="1:2" ht="15">
      <c r="A6022" s="77" t="s">
        <v>9681</v>
      </c>
      <c r="B6022" s="76" t="s">
        <v>10945</v>
      </c>
    </row>
    <row r="6023" spans="1:2" ht="15">
      <c r="A6023" s="77" t="s">
        <v>9682</v>
      </c>
      <c r="B6023" s="76" t="s">
        <v>10945</v>
      </c>
    </row>
    <row r="6024" spans="1:2" ht="15">
      <c r="A6024" s="77" t="s">
        <v>9683</v>
      </c>
      <c r="B6024" s="76" t="s">
        <v>10945</v>
      </c>
    </row>
    <row r="6025" spans="1:2" ht="15">
      <c r="A6025" s="77" t="s">
        <v>9684</v>
      </c>
      <c r="B6025" s="76" t="s">
        <v>10945</v>
      </c>
    </row>
    <row r="6026" spans="1:2" ht="15">
      <c r="A6026" s="77" t="s">
        <v>3795</v>
      </c>
      <c r="B6026" s="76" t="s">
        <v>10945</v>
      </c>
    </row>
    <row r="6027" spans="1:2" ht="15">
      <c r="A6027" s="77" t="s">
        <v>9685</v>
      </c>
      <c r="B6027" s="76" t="s">
        <v>10945</v>
      </c>
    </row>
    <row r="6028" spans="1:2" ht="15">
      <c r="A6028" s="77" t="s">
        <v>9686</v>
      </c>
      <c r="B6028" s="76" t="s">
        <v>10945</v>
      </c>
    </row>
    <row r="6029" spans="1:2" ht="15">
      <c r="A6029" s="77" t="s">
        <v>9687</v>
      </c>
      <c r="B6029" s="76" t="s">
        <v>10945</v>
      </c>
    </row>
    <row r="6030" spans="1:2" ht="15">
      <c r="A6030" s="77" t="s">
        <v>9688</v>
      </c>
      <c r="B6030" s="76" t="s">
        <v>10945</v>
      </c>
    </row>
    <row r="6031" spans="1:2" ht="15">
      <c r="A6031" s="77" t="s">
        <v>9689</v>
      </c>
      <c r="B6031" s="76" t="s">
        <v>10945</v>
      </c>
    </row>
    <row r="6032" spans="1:2" ht="15">
      <c r="A6032" s="77" t="s">
        <v>9690</v>
      </c>
      <c r="B6032" s="76" t="s">
        <v>10945</v>
      </c>
    </row>
    <row r="6033" spans="1:2" ht="15">
      <c r="A6033" s="77" t="s">
        <v>9691</v>
      </c>
      <c r="B6033" s="76" t="s">
        <v>10945</v>
      </c>
    </row>
    <row r="6034" spans="1:2" ht="15">
      <c r="A6034" s="77" t="s">
        <v>9692</v>
      </c>
      <c r="B6034" s="76" t="s">
        <v>10945</v>
      </c>
    </row>
    <row r="6035" spans="1:2" ht="15">
      <c r="A6035" s="77" t="s">
        <v>9693</v>
      </c>
      <c r="B6035" s="76" t="s">
        <v>10945</v>
      </c>
    </row>
    <row r="6036" spans="1:2" ht="15">
      <c r="A6036" s="77" t="s">
        <v>9694</v>
      </c>
      <c r="B6036" s="76" t="s">
        <v>10945</v>
      </c>
    </row>
    <row r="6037" spans="1:2" ht="15">
      <c r="A6037" s="77" t="s">
        <v>9695</v>
      </c>
      <c r="B6037" s="76" t="s">
        <v>10945</v>
      </c>
    </row>
    <row r="6038" spans="1:2" ht="15">
      <c r="A6038" s="77" t="s">
        <v>3664</v>
      </c>
      <c r="B6038" s="76" t="s">
        <v>10945</v>
      </c>
    </row>
    <row r="6039" spans="1:2" ht="15">
      <c r="A6039" s="77" t="s">
        <v>9696</v>
      </c>
      <c r="B6039" s="76" t="s">
        <v>10945</v>
      </c>
    </row>
    <row r="6040" spans="1:2" ht="15">
      <c r="A6040" s="77" t="s">
        <v>9697</v>
      </c>
      <c r="B6040" s="76" t="s">
        <v>10945</v>
      </c>
    </row>
    <row r="6041" spans="1:2" ht="15">
      <c r="A6041" s="77" t="s">
        <v>9698</v>
      </c>
      <c r="B6041" s="76" t="s">
        <v>10945</v>
      </c>
    </row>
    <row r="6042" spans="1:2" ht="15">
      <c r="A6042" s="77" t="s">
        <v>9699</v>
      </c>
      <c r="B6042" s="76" t="s">
        <v>10945</v>
      </c>
    </row>
    <row r="6043" spans="1:2" ht="15">
      <c r="A6043" s="77" t="s">
        <v>9700</v>
      </c>
      <c r="B6043" s="76" t="s">
        <v>10945</v>
      </c>
    </row>
    <row r="6044" spans="1:2" ht="15">
      <c r="A6044" s="77" t="s">
        <v>9701</v>
      </c>
      <c r="B6044" s="76" t="s">
        <v>10945</v>
      </c>
    </row>
    <row r="6045" spans="1:2" ht="15">
      <c r="A6045" s="77" t="s">
        <v>9702</v>
      </c>
      <c r="B6045" s="76" t="s">
        <v>10945</v>
      </c>
    </row>
    <row r="6046" spans="1:2" ht="15">
      <c r="A6046" s="77" t="s">
        <v>9703</v>
      </c>
      <c r="B6046" s="76" t="s">
        <v>10945</v>
      </c>
    </row>
    <row r="6047" spans="1:2" ht="15">
      <c r="A6047" s="77" t="s">
        <v>9704</v>
      </c>
      <c r="B6047" s="76" t="s">
        <v>10945</v>
      </c>
    </row>
    <row r="6048" spans="1:2" ht="15">
      <c r="A6048" s="77" t="s">
        <v>9705</v>
      </c>
      <c r="B6048" s="76" t="s">
        <v>10945</v>
      </c>
    </row>
    <row r="6049" spans="1:2" ht="15">
      <c r="A6049" s="77" t="s">
        <v>9706</v>
      </c>
      <c r="B6049" s="76" t="s">
        <v>10945</v>
      </c>
    </row>
    <row r="6050" spans="1:2" ht="15">
      <c r="A6050" s="77" t="s">
        <v>9707</v>
      </c>
      <c r="B6050" s="76" t="s">
        <v>10945</v>
      </c>
    </row>
    <row r="6051" spans="1:2" ht="15">
      <c r="A6051" s="77" t="s">
        <v>9708</v>
      </c>
      <c r="B6051" s="76" t="s">
        <v>10945</v>
      </c>
    </row>
    <row r="6052" spans="1:2" ht="15">
      <c r="A6052" s="77" t="s">
        <v>9709</v>
      </c>
      <c r="B6052" s="76" t="s">
        <v>10945</v>
      </c>
    </row>
    <row r="6053" spans="1:2" ht="15">
      <c r="A6053" s="77" t="s">
        <v>9710</v>
      </c>
      <c r="B6053" s="76" t="s">
        <v>10945</v>
      </c>
    </row>
    <row r="6054" spans="1:2" ht="15">
      <c r="A6054" s="77" t="s">
        <v>9711</v>
      </c>
      <c r="B6054" s="76" t="s">
        <v>10945</v>
      </c>
    </row>
    <row r="6055" spans="1:2" ht="15">
      <c r="A6055" s="77" t="s">
        <v>2918</v>
      </c>
      <c r="B6055" s="76" t="s">
        <v>10945</v>
      </c>
    </row>
    <row r="6056" spans="1:2" ht="15">
      <c r="A6056" s="77" t="s">
        <v>9712</v>
      </c>
      <c r="B6056" s="76" t="s">
        <v>10945</v>
      </c>
    </row>
    <row r="6057" spans="1:2" ht="15">
      <c r="A6057" s="77" t="s">
        <v>9713</v>
      </c>
      <c r="B6057" s="76" t="s">
        <v>10945</v>
      </c>
    </row>
    <row r="6058" spans="1:2" ht="15">
      <c r="A6058" s="77" t="s">
        <v>9714</v>
      </c>
      <c r="B6058" s="76" t="s">
        <v>10945</v>
      </c>
    </row>
    <row r="6059" spans="1:2" ht="15">
      <c r="A6059" s="77" t="s">
        <v>9715</v>
      </c>
      <c r="B6059" s="76" t="s">
        <v>10945</v>
      </c>
    </row>
    <row r="6060" spans="1:2" ht="15">
      <c r="A6060" s="77" t="s">
        <v>9716</v>
      </c>
      <c r="B6060" s="76" t="s">
        <v>10945</v>
      </c>
    </row>
    <row r="6061" spans="1:2" ht="15">
      <c r="A6061" s="77" t="s">
        <v>9717</v>
      </c>
      <c r="B6061" s="76" t="s">
        <v>10945</v>
      </c>
    </row>
    <row r="6062" spans="1:2" ht="15">
      <c r="A6062" s="77" t="s">
        <v>9718</v>
      </c>
      <c r="B6062" s="76" t="s">
        <v>10945</v>
      </c>
    </row>
    <row r="6063" spans="1:2" ht="15">
      <c r="A6063" s="77" t="s">
        <v>9719</v>
      </c>
      <c r="B6063" s="76" t="s">
        <v>10945</v>
      </c>
    </row>
    <row r="6064" spans="1:2" ht="15">
      <c r="A6064" s="77" t="s">
        <v>9720</v>
      </c>
      <c r="B6064" s="76" t="s">
        <v>10945</v>
      </c>
    </row>
    <row r="6065" spans="1:2" ht="15">
      <c r="A6065" s="77" t="s">
        <v>9721</v>
      </c>
      <c r="B6065" s="76" t="s">
        <v>10945</v>
      </c>
    </row>
    <row r="6066" spans="1:2" ht="15">
      <c r="A6066" s="77" t="s">
        <v>9722</v>
      </c>
      <c r="B6066" s="76" t="s">
        <v>10945</v>
      </c>
    </row>
    <row r="6067" spans="1:2" ht="15">
      <c r="A6067" s="77" t="s">
        <v>9723</v>
      </c>
      <c r="B6067" s="76" t="s">
        <v>10945</v>
      </c>
    </row>
    <row r="6068" spans="1:2" ht="15">
      <c r="A6068" s="77" t="s">
        <v>9724</v>
      </c>
      <c r="B6068" s="76" t="s">
        <v>10945</v>
      </c>
    </row>
    <row r="6069" spans="1:2" ht="15">
      <c r="A6069" s="77" t="s">
        <v>9725</v>
      </c>
      <c r="B6069" s="76" t="s">
        <v>10945</v>
      </c>
    </row>
    <row r="6070" spans="1:2" ht="15">
      <c r="A6070" s="77" t="s">
        <v>9726</v>
      </c>
      <c r="B6070" s="76" t="s">
        <v>10945</v>
      </c>
    </row>
    <row r="6071" spans="1:2" ht="15">
      <c r="A6071" s="77" t="s">
        <v>9727</v>
      </c>
      <c r="B6071" s="76" t="s">
        <v>10945</v>
      </c>
    </row>
    <row r="6072" spans="1:2" ht="15">
      <c r="A6072" s="77" t="s">
        <v>9728</v>
      </c>
      <c r="B6072" s="76" t="s">
        <v>10945</v>
      </c>
    </row>
    <row r="6073" spans="1:2" ht="15">
      <c r="A6073" s="77" t="s">
        <v>9729</v>
      </c>
      <c r="B6073" s="76" t="s">
        <v>10945</v>
      </c>
    </row>
    <row r="6074" spans="1:2" ht="15">
      <c r="A6074" s="77" t="s">
        <v>9730</v>
      </c>
      <c r="B6074" s="76" t="s">
        <v>10945</v>
      </c>
    </row>
    <row r="6075" spans="1:2" ht="15">
      <c r="A6075" s="77" t="s">
        <v>9731</v>
      </c>
      <c r="B6075" s="76" t="s">
        <v>10945</v>
      </c>
    </row>
    <row r="6076" spans="1:2" ht="15">
      <c r="A6076" s="77" t="s">
        <v>9732</v>
      </c>
      <c r="B6076" s="76" t="s">
        <v>10945</v>
      </c>
    </row>
    <row r="6077" spans="1:2" ht="15">
      <c r="A6077" s="77" t="s">
        <v>9733</v>
      </c>
      <c r="B6077" s="76" t="s">
        <v>10945</v>
      </c>
    </row>
    <row r="6078" spans="1:2" ht="15">
      <c r="A6078" s="77" t="s">
        <v>9734</v>
      </c>
      <c r="B6078" s="76" t="s">
        <v>10945</v>
      </c>
    </row>
    <row r="6079" spans="1:2" ht="15">
      <c r="A6079" s="77" t="s">
        <v>9735</v>
      </c>
      <c r="B6079" s="76" t="s">
        <v>10945</v>
      </c>
    </row>
    <row r="6080" spans="1:2" ht="15">
      <c r="A6080" s="77" t="s">
        <v>9736</v>
      </c>
      <c r="B6080" s="76" t="s">
        <v>10945</v>
      </c>
    </row>
    <row r="6081" spans="1:2" ht="15">
      <c r="A6081" s="77" t="s">
        <v>9737</v>
      </c>
      <c r="B6081" s="76" t="s">
        <v>10945</v>
      </c>
    </row>
    <row r="6082" spans="1:2" ht="15">
      <c r="A6082" s="77" t="s">
        <v>9738</v>
      </c>
      <c r="B6082" s="76" t="s">
        <v>10945</v>
      </c>
    </row>
    <row r="6083" spans="1:2" ht="15">
      <c r="A6083" s="77" t="s">
        <v>9739</v>
      </c>
      <c r="B6083" s="76" t="s">
        <v>10945</v>
      </c>
    </row>
    <row r="6084" spans="1:2" ht="15">
      <c r="A6084" s="77" t="s">
        <v>9740</v>
      </c>
      <c r="B6084" s="76" t="s">
        <v>10945</v>
      </c>
    </row>
    <row r="6085" spans="1:2" ht="15">
      <c r="A6085" s="77" t="s">
        <v>9741</v>
      </c>
      <c r="B6085" s="76" t="s">
        <v>10945</v>
      </c>
    </row>
    <row r="6086" spans="1:2" ht="15">
      <c r="A6086" s="77" t="s">
        <v>9742</v>
      </c>
      <c r="B6086" s="76" t="s">
        <v>10945</v>
      </c>
    </row>
    <row r="6087" spans="1:2" ht="15">
      <c r="A6087" s="77" t="s">
        <v>9743</v>
      </c>
      <c r="B6087" s="76" t="s">
        <v>10945</v>
      </c>
    </row>
    <row r="6088" spans="1:2" ht="15">
      <c r="A6088" s="77" t="s">
        <v>9744</v>
      </c>
      <c r="B6088" s="76" t="s">
        <v>10945</v>
      </c>
    </row>
    <row r="6089" spans="1:2" ht="15">
      <c r="A6089" s="77" t="s">
        <v>9745</v>
      </c>
      <c r="B6089" s="76" t="s">
        <v>10945</v>
      </c>
    </row>
    <row r="6090" spans="1:2" ht="15">
      <c r="A6090" s="77" t="s">
        <v>9746</v>
      </c>
      <c r="B6090" s="76" t="s">
        <v>10945</v>
      </c>
    </row>
    <row r="6091" spans="1:2" ht="15">
      <c r="A6091" s="77" t="s">
        <v>9747</v>
      </c>
      <c r="B6091" s="76" t="s">
        <v>10945</v>
      </c>
    </row>
    <row r="6092" spans="1:2" ht="15">
      <c r="A6092" s="77" t="s">
        <v>9748</v>
      </c>
      <c r="B6092" s="76" t="s">
        <v>10945</v>
      </c>
    </row>
    <row r="6093" spans="1:2" ht="15">
      <c r="A6093" s="77" t="s">
        <v>3373</v>
      </c>
      <c r="B6093" s="76" t="s">
        <v>10945</v>
      </c>
    </row>
    <row r="6094" spans="1:2" ht="15">
      <c r="A6094" s="77" t="s">
        <v>9749</v>
      </c>
      <c r="B6094" s="76" t="s">
        <v>10945</v>
      </c>
    </row>
    <row r="6095" spans="1:2" ht="15">
      <c r="A6095" s="77" t="s">
        <v>9750</v>
      </c>
      <c r="B6095" s="76" t="s">
        <v>10945</v>
      </c>
    </row>
    <row r="6096" spans="1:2" ht="15">
      <c r="A6096" s="77" t="s">
        <v>9751</v>
      </c>
      <c r="B6096" s="76" t="s">
        <v>10945</v>
      </c>
    </row>
    <row r="6097" spans="1:2" ht="15">
      <c r="A6097" s="77" t="s">
        <v>9752</v>
      </c>
      <c r="B6097" s="76" t="s">
        <v>10945</v>
      </c>
    </row>
    <row r="6098" spans="1:2" ht="15">
      <c r="A6098" s="77" t="s">
        <v>9753</v>
      </c>
      <c r="B6098" s="76" t="s">
        <v>10945</v>
      </c>
    </row>
    <row r="6099" spans="1:2" ht="15">
      <c r="A6099" s="77" t="s">
        <v>9754</v>
      </c>
      <c r="B6099" s="76" t="s">
        <v>10945</v>
      </c>
    </row>
    <row r="6100" spans="1:2" ht="15">
      <c r="A6100" s="77" t="s">
        <v>9755</v>
      </c>
      <c r="B6100" s="76" t="s">
        <v>10945</v>
      </c>
    </row>
    <row r="6101" spans="1:2" ht="15">
      <c r="A6101" s="77" t="s">
        <v>9756</v>
      </c>
      <c r="B6101" s="76" t="s">
        <v>10945</v>
      </c>
    </row>
    <row r="6102" spans="1:2" ht="15">
      <c r="A6102" s="77" t="s">
        <v>9757</v>
      </c>
      <c r="B6102" s="76" t="s">
        <v>10945</v>
      </c>
    </row>
    <row r="6103" spans="1:2" ht="15">
      <c r="A6103" s="77" t="s">
        <v>9758</v>
      </c>
      <c r="B6103" s="76" t="s">
        <v>10945</v>
      </c>
    </row>
    <row r="6104" spans="1:2" ht="15">
      <c r="A6104" s="77" t="s">
        <v>9759</v>
      </c>
      <c r="B6104" s="76" t="s">
        <v>10945</v>
      </c>
    </row>
    <row r="6105" spans="1:2" ht="15">
      <c r="A6105" s="77" t="s">
        <v>9760</v>
      </c>
      <c r="B6105" s="76" t="s">
        <v>10945</v>
      </c>
    </row>
    <row r="6106" spans="1:2" ht="15">
      <c r="A6106" s="77" t="s">
        <v>9761</v>
      </c>
      <c r="B6106" s="76" t="s">
        <v>10945</v>
      </c>
    </row>
    <row r="6107" spans="1:2" ht="15">
      <c r="A6107" s="77" t="s">
        <v>9762</v>
      </c>
      <c r="B6107" s="76" t="s">
        <v>10945</v>
      </c>
    </row>
    <row r="6108" spans="1:2" ht="15">
      <c r="A6108" s="77" t="s">
        <v>9763</v>
      </c>
      <c r="B6108" s="76" t="s">
        <v>10945</v>
      </c>
    </row>
    <row r="6109" spans="1:2" ht="15">
      <c r="A6109" s="77" t="s">
        <v>9764</v>
      </c>
      <c r="B6109" s="76" t="s">
        <v>10945</v>
      </c>
    </row>
    <row r="6110" spans="1:2" ht="15">
      <c r="A6110" s="77" t="s">
        <v>9765</v>
      </c>
      <c r="B6110" s="76" t="s">
        <v>10945</v>
      </c>
    </row>
    <row r="6111" spans="1:2" ht="15">
      <c r="A6111" s="77" t="s">
        <v>9766</v>
      </c>
      <c r="B6111" s="76" t="s">
        <v>10945</v>
      </c>
    </row>
    <row r="6112" spans="1:2" ht="15">
      <c r="A6112" s="77" t="s">
        <v>9767</v>
      </c>
      <c r="B6112" s="76" t="s">
        <v>10945</v>
      </c>
    </row>
    <row r="6113" spans="1:2" ht="15">
      <c r="A6113" s="77" t="s">
        <v>9768</v>
      </c>
      <c r="B6113" s="76" t="s">
        <v>10945</v>
      </c>
    </row>
    <row r="6114" spans="1:2" ht="15">
      <c r="A6114" s="77" t="s">
        <v>9769</v>
      </c>
      <c r="B6114" s="76" t="s">
        <v>10945</v>
      </c>
    </row>
    <row r="6115" spans="1:2" ht="15">
      <c r="A6115" s="77" t="s">
        <v>9770</v>
      </c>
      <c r="B6115" s="76" t="s">
        <v>10945</v>
      </c>
    </row>
    <row r="6116" spans="1:2" ht="15">
      <c r="A6116" s="77" t="s">
        <v>9771</v>
      </c>
      <c r="B6116" s="76" t="s">
        <v>10945</v>
      </c>
    </row>
    <row r="6117" spans="1:2" ht="15">
      <c r="A6117" s="77" t="s">
        <v>9772</v>
      </c>
      <c r="B6117" s="76" t="s">
        <v>10945</v>
      </c>
    </row>
    <row r="6118" spans="1:2" ht="15">
      <c r="A6118" s="77" t="s">
        <v>9773</v>
      </c>
      <c r="B6118" s="76" t="s">
        <v>10945</v>
      </c>
    </row>
    <row r="6119" spans="1:2" ht="15">
      <c r="A6119" s="77" t="s">
        <v>9774</v>
      </c>
      <c r="B6119" s="76" t="s">
        <v>10945</v>
      </c>
    </row>
    <row r="6120" spans="1:2" ht="15">
      <c r="A6120" s="77" t="s">
        <v>9775</v>
      </c>
      <c r="B6120" s="76" t="s">
        <v>10945</v>
      </c>
    </row>
    <row r="6121" spans="1:2" ht="15">
      <c r="A6121" s="77" t="s">
        <v>9776</v>
      </c>
      <c r="B6121" s="76" t="s">
        <v>10945</v>
      </c>
    </row>
    <row r="6122" spans="1:2" ht="15">
      <c r="A6122" s="77" t="s">
        <v>9777</v>
      </c>
      <c r="B6122" s="76" t="s">
        <v>10945</v>
      </c>
    </row>
    <row r="6123" spans="1:2" ht="15">
      <c r="A6123" s="77" t="s">
        <v>9778</v>
      </c>
      <c r="B6123" s="76" t="s">
        <v>10945</v>
      </c>
    </row>
    <row r="6124" spans="1:2" ht="15">
      <c r="A6124" s="77" t="s">
        <v>9779</v>
      </c>
      <c r="B6124" s="76" t="s">
        <v>10945</v>
      </c>
    </row>
    <row r="6125" spans="1:2" ht="15">
      <c r="A6125" s="77" t="s">
        <v>9780</v>
      </c>
      <c r="B6125" s="76" t="s">
        <v>10945</v>
      </c>
    </row>
    <row r="6126" spans="1:2" ht="15">
      <c r="A6126" s="77" t="s">
        <v>9781</v>
      </c>
      <c r="B6126" s="76" t="s">
        <v>10945</v>
      </c>
    </row>
    <row r="6127" spans="1:2" ht="15">
      <c r="A6127" s="77" t="s">
        <v>9782</v>
      </c>
      <c r="B6127" s="76" t="s">
        <v>10945</v>
      </c>
    </row>
    <row r="6128" spans="1:2" ht="15">
      <c r="A6128" s="77" t="s">
        <v>9783</v>
      </c>
      <c r="B6128" s="76" t="s">
        <v>10945</v>
      </c>
    </row>
    <row r="6129" spans="1:2" ht="15">
      <c r="A6129" s="77" t="s">
        <v>9784</v>
      </c>
      <c r="B6129" s="76" t="s">
        <v>10945</v>
      </c>
    </row>
    <row r="6130" spans="1:2" ht="15">
      <c r="A6130" s="77" t="s">
        <v>9785</v>
      </c>
      <c r="B6130" s="76" t="s">
        <v>10945</v>
      </c>
    </row>
    <row r="6131" spans="1:2" ht="15">
      <c r="A6131" s="77" t="s">
        <v>9786</v>
      </c>
      <c r="B6131" s="76" t="s">
        <v>10945</v>
      </c>
    </row>
    <row r="6132" spans="1:2" ht="15">
      <c r="A6132" s="77" t="s">
        <v>9787</v>
      </c>
      <c r="B6132" s="76" t="s">
        <v>10945</v>
      </c>
    </row>
    <row r="6133" spans="1:2" ht="15">
      <c r="A6133" s="77" t="s">
        <v>9788</v>
      </c>
      <c r="B6133" s="76" t="s">
        <v>10945</v>
      </c>
    </row>
    <row r="6134" spans="1:2" ht="15">
      <c r="A6134" s="77" t="s">
        <v>9789</v>
      </c>
      <c r="B6134" s="76" t="s">
        <v>10945</v>
      </c>
    </row>
    <row r="6135" spans="1:2" ht="15">
      <c r="A6135" s="77" t="s">
        <v>9790</v>
      </c>
      <c r="B6135" s="76" t="s">
        <v>10945</v>
      </c>
    </row>
    <row r="6136" spans="1:2" ht="15">
      <c r="A6136" s="77" t="s">
        <v>9791</v>
      </c>
      <c r="B6136" s="76" t="s">
        <v>10945</v>
      </c>
    </row>
    <row r="6137" spans="1:2" ht="15">
      <c r="A6137" s="77" t="s">
        <v>9792</v>
      </c>
      <c r="B6137" s="76" t="s">
        <v>10945</v>
      </c>
    </row>
    <row r="6138" spans="1:2" ht="15">
      <c r="A6138" s="77" t="s">
        <v>9793</v>
      </c>
      <c r="B6138" s="76" t="s">
        <v>10945</v>
      </c>
    </row>
    <row r="6139" spans="1:2" ht="15">
      <c r="A6139" s="77" t="s">
        <v>9794</v>
      </c>
      <c r="B6139" s="76" t="s">
        <v>10945</v>
      </c>
    </row>
    <row r="6140" spans="1:2" ht="15">
      <c r="A6140" s="77" t="s">
        <v>9795</v>
      </c>
      <c r="B6140" s="76" t="s">
        <v>10945</v>
      </c>
    </row>
    <row r="6141" spans="1:2" ht="15">
      <c r="A6141" s="77" t="s">
        <v>9796</v>
      </c>
      <c r="B6141" s="76" t="s">
        <v>10945</v>
      </c>
    </row>
    <row r="6142" spans="1:2" ht="15">
      <c r="A6142" s="77" t="s">
        <v>9797</v>
      </c>
      <c r="B6142" s="76" t="s">
        <v>10945</v>
      </c>
    </row>
    <row r="6143" spans="1:2" ht="15">
      <c r="A6143" s="77" t="s">
        <v>9798</v>
      </c>
      <c r="B6143" s="76" t="s">
        <v>10945</v>
      </c>
    </row>
    <row r="6144" spans="1:2" ht="15">
      <c r="A6144" s="77" t="s">
        <v>9799</v>
      </c>
      <c r="B6144" s="76" t="s">
        <v>10945</v>
      </c>
    </row>
    <row r="6145" spans="1:2" ht="15">
      <c r="A6145" s="77" t="s">
        <v>9800</v>
      </c>
      <c r="B6145" s="76" t="s">
        <v>10945</v>
      </c>
    </row>
    <row r="6146" spans="1:2" ht="15">
      <c r="A6146" s="77" t="s">
        <v>9801</v>
      </c>
      <c r="B6146" s="76" t="s">
        <v>10945</v>
      </c>
    </row>
    <row r="6147" spans="1:2" ht="15">
      <c r="A6147" s="77" t="s">
        <v>9802</v>
      </c>
      <c r="B6147" s="76" t="s">
        <v>10945</v>
      </c>
    </row>
    <row r="6148" spans="1:2" ht="15">
      <c r="A6148" s="77" t="s">
        <v>9803</v>
      </c>
      <c r="B6148" s="76" t="s">
        <v>10945</v>
      </c>
    </row>
    <row r="6149" spans="1:2" ht="15">
      <c r="A6149" s="77" t="s">
        <v>9804</v>
      </c>
      <c r="B6149" s="76" t="s">
        <v>10945</v>
      </c>
    </row>
    <row r="6150" spans="1:2" ht="15">
      <c r="A6150" s="77" t="s">
        <v>9805</v>
      </c>
      <c r="B6150" s="76" t="s">
        <v>10945</v>
      </c>
    </row>
    <row r="6151" spans="1:2" ht="15">
      <c r="A6151" s="77" t="s">
        <v>9806</v>
      </c>
      <c r="B6151" s="76" t="s">
        <v>10945</v>
      </c>
    </row>
    <row r="6152" spans="1:2" ht="15">
      <c r="A6152" s="77" t="s">
        <v>9807</v>
      </c>
      <c r="B6152" s="76" t="s">
        <v>10945</v>
      </c>
    </row>
    <row r="6153" spans="1:2" ht="15">
      <c r="A6153" s="77" t="s">
        <v>9808</v>
      </c>
      <c r="B6153" s="76" t="s">
        <v>10945</v>
      </c>
    </row>
    <row r="6154" spans="1:2" ht="15">
      <c r="A6154" s="77" t="s">
        <v>9809</v>
      </c>
      <c r="B6154" s="76" t="s">
        <v>10945</v>
      </c>
    </row>
    <row r="6155" spans="1:2" ht="15">
      <c r="A6155" s="77" t="s">
        <v>9810</v>
      </c>
      <c r="B6155" s="76" t="s">
        <v>10945</v>
      </c>
    </row>
    <row r="6156" spans="1:2" ht="15">
      <c r="A6156" s="77" t="s">
        <v>9811</v>
      </c>
      <c r="B6156" s="76" t="s">
        <v>10945</v>
      </c>
    </row>
    <row r="6157" spans="1:2" ht="15">
      <c r="A6157" s="77" t="s">
        <v>9812</v>
      </c>
      <c r="B6157" s="76" t="s">
        <v>10945</v>
      </c>
    </row>
    <row r="6158" spans="1:2" ht="15">
      <c r="A6158" s="77" t="s">
        <v>9813</v>
      </c>
      <c r="B6158" s="76" t="s">
        <v>10945</v>
      </c>
    </row>
    <row r="6159" spans="1:2" ht="15">
      <c r="A6159" s="77" t="s">
        <v>9814</v>
      </c>
      <c r="B6159" s="76" t="s">
        <v>10945</v>
      </c>
    </row>
    <row r="6160" spans="1:2" ht="15">
      <c r="A6160" s="77" t="s">
        <v>9815</v>
      </c>
      <c r="B6160" s="76" t="s">
        <v>10945</v>
      </c>
    </row>
    <row r="6161" spans="1:2" ht="15">
      <c r="A6161" s="77" t="s">
        <v>9816</v>
      </c>
      <c r="B6161" s="76" t="s">
        <v>10945</v>
      </c>
    </row>
    <row r="6162" spans="1:2" ht="15">
      <c r="A6162" s="77" t="s">
        <v>9817</v>
      </c>
      <c r="B6162" s="76" t="s">
        <v>10945</v>
      </c>
    </row>
    <row r="6163" spans="1:2" ht="15">
      <c r="A6163" s="77" t="s">
        <v>9818</v>
      </c>
      <c r="B6163" s="76" t="s">
        <v>10945</v>
      </c>
    </row>
    <row r="6164" spans="1:2" ht="15">
      <c r="A6164" s="77" t="s">
        <v>9819</v>
      </c>
      <c r="B6164" s="76" t="s">
        <v>10945</v>
      </c>
    </row>
    <row r="6165" spans="1:2" ht="15">
      <c r="A6165" s="77" t="s">
        <v>9820</v>
      </c>
      <c r="B6165" s="76" t="s">
        <v>10945</v>
      </c>
    </row>
    <row r="6166" spans="1:2" ht="15">
      <c r="A6166" s="77" t="s">
        <v>9821</v>
      </c>
      <c r="B6166" s="76" t="s">
        <v>10945</v>
      </c>
    </row>
    <row r="6167" spans="1:2" ht="15">
      <c r="A6167" s="77" t="s">
        <v>9822</v>
      </c>
      <c r="B6167" s="76" t="s">
        <v>10945</v>
      </c>
    </row>
    <row r="6168" spans="1:2" ht="15">
      <c r="A6168" s="77" t="s">
        <v>9823</v>
      </c>
      <c r="B6168" s="76" t="s">
        <v>10945</v>
      </c>
    </row>
    <row r="6169" spans="1:2" ht="15">
      <c r="A6169" s="77" t="s">
        <v>9824</v>
      </c>
      <c r="B6169" s="76" t="s">
        <v>10945</v>
      </c>
    </row>
    <row r="6170" spans="1:2" ht="15">
      <c r="A6170" s="77" t="s">
        <v>9825</v>
      </c>
      <c r="B6170" s="76" t="s">
        <v>10945</v>
      </c>
    </row>
    <row r="6171" spans="1:2" ht="15">
      <c r="A6171" s="77" t="s">
        <v>9826</v>
      </c>
      <c r="B6171" s="76" t="s">
        <v>10945</v>
      </c>
    </row>
    <row r="6172" spans="1:2" ht="15">
      <c r="A6172" s="77" t="s">
        <v>9827</v>
      </c>
      <c r="B6172" s="76" t="s">
        <v>10945</v>
      </c>
    </row>
    <row r="6173" spans="1:2" ht="15">
      <c r="A6173" s="77" t="s">
        <v>9828</v>
      </c>
      <c r="B6173" s="76" t="s">
        <v>10945</v>
      </c>
    </row>
    <row r="6174" spans="1:2" ht="15">
      <c r="A6174" s="77" t="s">
        <v>9829</v>
      </c>
      <c r="B6174" s="76" t="s">
        <v>10945</v>
      </c>
    </row>
    <row r="6175" spans="1:2" ht="15">
      <c r="A6175" s="77" t="s">
        <v>9830</v>
      </c>
      <c r="B6175" s="76" t="s">
        <v>10945</v>
      </c>
    </row>
    <row r="6176" spans="1:2" ht="15">
      <c r="A6176" s="77" t="s">
        <v>9831</v>
      </c>
      <c r="B6176" s="76" t="s">
        <v>10945</v>
      </c>
    </row>
    <row r="6177" spans="1:2" ht="15">
      <c r="A6177" s="77" t="s">
        <v>9832</v>
      </c>
      <c r="B6177" s="76" t="s">
        <v>10945</v>
      </c>
    </row>
    <row r="6178" spans="1:2" ht="15">
      <c r="A6178" s="77" t="s">
        <v>9833</v>
      </c>
      <c r="B6178" s="76" t="s">
        <v>10945</v>
      </c>
    </row>
    <row r="6179" spans="1:2" ht="15">
      <c r="A6179" s="77" t="s">
        <v>9834</v>
      </c>
      <c r="B6179" s="76" t="s">
        <v>10945</v>
      </c>
    </row>
    <row r="6180" spans="1:2" ht="15">
      <c r="A6180" s="77" t="s">
        <v>9835</v>
      </c>
      <c r="B6180" s="76" t="s">
        <v>10945</v>
      </c>
    </row>
    <row r="6181" spans="1:2" ht="15">
      <c r="A6181" s="77" t="s">
        <v>9836</v>
      </c>
      <c r="B6181" s="76" t="s">
        <v>10945</v>
      </c>
    </row>
    <row r="6182" spans="1:2" ht="15">
      <c r="A6182" s="77" t="s">
        <v>9837</v>
      </c>
      <c r="B6182" s="76" t="s">
        <v>10945</v>
      </c>
    </row>
    <row r="6183" spans="1:2" ht="15">
      <c r="A6183" s="77" t="s">
        <v>9838</v>
      </c>
      <c r="B6183" s="76" t="s">
        <v>10945</v>
      </c>
    </row>
    <row r="6184" spans="1:2" ht="15">
      <c r="A6184" s="77" t="s">
        <v>9839</v>
      </c>
      <c r="B6184" s="76" t="s">
        <v>10945</v>
      </c>
    </row>
    <row r="6185" spans="1:2" ht="15">
      <c r="A6185" s="77" t="s">
        <v>9840</v>
      </c>
      <c r="B6185" s="76" t="s">
        <v>10945</v>
      </c>
    </row>
    <row r="6186" spans="1:2" ht="15">
      <c r="A6186" s="77" t="s">
        <v>9841</v>
      </c>
      <c r="B6186" s="76" t="s">
        <v>10945</v>
      </c>
    </row>
    <row r="6187" spans="1:2" ht="15">
      <c r="A6187" s="77" t="s">
        <v>9842</v>
      </c>
      <c r="B6187" s="76" t="s">
        <v>10945</v>
      </c>
    </row>
    <row r="6188" spans="1:2" ht="15">
      <c r="A6188" s="77" t="s">
        <v>9843</v>
      </c>
      <c r="B6188" s="76" t="s">
        <v>10945</v>
      </c>
    </row>
    <row r="6189" spans="1:2" ht="15">
      <c r="A6189" s="77" t="s">
        <v>9844</v>
      </c>
      <c r="B6189" s="76" t="s">
        <v>10945</v>
      </c>
    </row>
    <row r="6190" spans="1:2" ht="15">
      <c r="A6190" s="77" t="s">
        <v>9845</v>
      </c>
      <c r="B6190" s="76" t="s">
        <v>10945</v>
      </c>
    </row>
    <row r="6191" spans="1:2" ht="15">
      <c r="A6191" s="77" t="s">
        <v>9846</v>
      </c>
      <c r="B6191" s="76" t="s">
        <v>10945</v>
      </c>
    </row>
    <row r="6192" spans="1:2" ht="15">
      <c r="A6192" s="77" t="s">
        <v>9847</v>
      </c>
      <c r="B6192" s="76" t="s">
        <v>10945</v>
      </c>
    </row>
    <row r="6193" spans="1:2" ht="15">
      <c r="A6193" s="77" t="s">
        <v>9848</v>
      </c>
      <c r="B6193" s="76" t="s">
        <v>10945</v>
      </c>
    </row>
    <row r="6194" spans="1:2" ht="15">
      <c r="A6194" s="77" t="s">
        <v>9849</v>
      </c>
      <c r="B6194" s="76" t="s">
        <v>10945</v>
      </c>
    </row>
    <row r="6195" spans="1:2" ht="15">
      <c r="A6195" s="77" t="s">
        <v>9850</v>
      </c>
      <c r="B6195" s="76" t="s">
        <v>10945</v>
      </c>
    </row>
    <row r="6196" spans="1:2" ht="15">
      <c r="A6196" s="77" t="s">
        <v>9851</v>
      </c>
      <c r="B6196" s="76" t="s">
        <v>10945</v>
      </c>
    </row>
    <row r="6197" spans="1:2" ht="15">
      <c r="A6197" s="77" t="s">
        <v>9852</v>
      </c>
      <c r="B6197" s="76" t="s">
        <v>10945</v>
      </c>
    </row>
    <row r="6198" spans="1:2" ht="15">
      <c r="A6198" s="77" t="s">
        <v>9853</v>
      </c>
      <c r="B6198" s="76" t="s">
        <v>10945</v>
      </c>
    </row>
    <row r="6199" spans="1:2" ht="15">
      <c r="A6199" s="77" t="s">
        <v>9854</v>
      </c>
      <c r="B6199" s="76" t="s">
        <v>10945</v>
      </c>
    </row>
    <row r="6200" spans="1:2" ht="15">
      <c r="A6200" s="77" t="s">
        <v>9855</v>
      </c>
      <c r="B6200" s="76" t="s">
        <v>10945</v>
      </c>
    </row>
    <row r="6201" spans="1:2" ht="15">
      <c r="A6201" s="77" t="s">
        <v>9856</v>
      </c>
      <c r="B6201" s="76" t="s">
        <v>10945</v>
      </c>
    </row>
    <row r="6202" spans="1:2" ht="15">
      <c r="A6202" s="77" t="s">
        <v>9857</v>
      </c>
      <c r="B6202" s="76" t="s">
        <v>10945</v>
      </c>
    </row>
    <row r="6203" spans="1:2" ht="15">
      <c r="A6203" s="77" t="s">
        <v>9858</v>
      </c>
      <c r="B6203" s="76" t="s">
        <v>10945</v>
      </c>
    </row>
    <row r="6204" spans="1:2" ht="15">
      <c r="A6204" s="77" t="s">
        <v>9859</v>
      </c>
      <c r="B6204" s="76" t="s">
        <v>10945</v>
      </c>
    </row>
    <row r="6205" spans="1:2" ht="15">
      <c r="A6205" s="77" t="s">
        <v>9860</v>
      </c>
      <c r="B6205" s="76" t="s">
        <v>10945</v>
      </c>
    </row>
    <row r="6206" spans="1:2" ht="15">
      <c r="A6206" s="77" t="s">
        <v>9861</v>
      </c>
      <c r="B6206" s="76" t="s">
        <v>10945</v>
      </c>
    </row>
    <row r="6207" spans="1:2" ht="15">
      <c r="A6207" s="77" t="s">
        <v>9862</v>
      </c>
      <c r="B6207" s="76" t="s">
        <v>10945</v>
      </c>
    </row>
    <row r="6208" spans="1:2" ht="15">
      <c r="A6208" s="77" t="s">
        <v>9863</v>
      </c>
      <c r="B6208" s="76" t="s">
        <v>10945</v>
      </c>
    </row>
    <row r="6209" spans="1:2" ht="15">
      <c r="A6209" s="77" t="s">
        <v>9864</v>
      </c>
      <c r="B6209" s="76" t="s">
        <v>10945</v>
      </c>
    </row>
    <row r="6210" spans="1:2" ht="15">
      <c r="A6210" s="77" t="s">
        <v>9865</v>
      </c>
      <c r="B6210" s="76" t="s">
        <v>10945</v>
      </c>
    </row>
    <row r="6211" spans="1:2" ht="15">
      <c r="A6211" s="77" t="s">
        <v>9866</v>
      </c>
      <c r="B6211" s="76" t="s">
        <v>10945</v>
      </c>
    </row>
    <row r="6212" spans="1:2" ht="15">
      <c r="A6212" s="77" t="s">
        <v>9867</v>
      </c>
      <c r="B6212" s="76" t="s">
        <v>10945</v>
      </c>
    </row>
    <row r="6213" spans="1:2" ht="15">
      <c r="A6213" s="77" t="s">
        <v>9868</v>
      </c>
      <c r="B6213" s="76" t="s">
        <v>10945</v>
      </c>
    </row>
    <row r="6214" spans="1:2" ht="15">
      <c r="A6214" s="77" t="s">
        <v>9869</v>
      </c>
      <c r="B6214" s="76" t="s">
        <v>10945</v>
      </c>
    </row>
    <row r="6215" spans="1:2" ht="15">
      <c r="A6215" s="77" t="s">
        <v>9870</v>
      </c>
      <c r="B6215" s="76" t="s">
        <v>10945</v>
      </c>
    </row>
    <row r="6216" spans="1:2" ht="15">
      <c r="A6216" s="77" t="s">
        <v>9871</v>
      </c>
      <c r="B6216" s="76" t="s">
        <v>10945</v>
      </c>
    </row>
    <row r="6217" spans="1:2" ht="15">
      <c r="A6217" s="77" t="s">
        <v>9872</v>
      </c>
      <c r="B6217" s="76" t="s">
        <v>10945</v>
      </c>
    </row>
    <row r="6218" spans="1:2" ht="15">
      <c r="A6218" s="77" t="s">
        <v>9873</v>
      </c>
      <c r="B6218" s="76" t="s">
        <v>10945</v>
      </c>
    </row>
    <row r="6219" spans="1:2" ht="15">
      <c r="A6219" s="77" t="s">
        <v>9874</v>
      </c>
      <c r="B6219" s="76" t="s">
        <v>10945</v>
      </c>
    </row>
    <row r="6220" spans="1:2" ht="15">
      <c r="A6220" s="77" t="s">
        <v>9875</v>
      </c>
      <c r="B6220" s="76" t="s">
        <v>10945</v>
      </c>
    </row>
    <row r="6221" spans="1:2" ht="15">
      <c r="A6221" s="77" t="s">
        <v>9876</v>
      </c>
      <c r="B6221" s="76" t="s">
        <v>10945</v>
      </c>
    </row>
    <row r="6222" spans="1:2" ht="15">
      <c r="A6222" s="77" t="s">
        <v>9877</v>
      </c>
      <c r="B6222" s="76" t="s">
        <v>10945</v>
      </c>
    </row>
    <row r="6223" spans="1:2" ht="15">
      <c r="A6223" s="77" t="s">
        <v>9878</v>
      </c>
      <c r="B6223" s="76" t="s">
        <v>10945</v>
      </c>
    </row>
    <row r="6224" spans="1:2" ht="15">
      <c r="A6224" s="77" t="s">
        <v>9879</v>
      </c>
      <c r="B6224" s="76" t="s">
        <v>10945</v>
      </c>
    </row>
    <row r="6225" spans="1:2" ht="15">
      <c r="A6225" s="77" t="s">
        <v>9880</v>
      </c>
      <c r="B6225" s="76" t="s">
        <v>10945</v>
      </c>
    </row>
    <row r="6226" spans="1:2" ht="15">
      <c r="A6226" s="77" t="s">
        <v>9881</v>
      </c>
      <c r="B6226" s="76" t="s">
        <v>10945</v>
      </c>
    </row>
    <row r="6227" spans="1:2" ht="15">
      <c r="A6227" s="77" t="s">
        <v>9882</v>
      </c>
      <c r="B6227" s="76" t="s">
        <v>10945</v>
      </c>
    </row>
    <row r="6228" spans="1:2" ht="15">
      <c r="A6228" s="77" t="s">
        <v>9883</v>
      </c>
      <c r="B6228" s="76" t="s">
        <v>10945</v>
      </c>
    </row>
    <row r="6229" spans="1:2" ht="15">
      <c r="A6229" s="77" t="s">
        <v>9884</v>
      </c>
      <c r="B6229" s="76" t="s">
        <v>10945</v>
      </c>
    </row>
    <row r="6230" spans="1:2" ht="15">
      <c r="A6230" s="77" t="s">
        <v>9885</v>
      </c>
      <c r="B6230" s="76" t="s">
        <v>10945</v>
      </c>
    </row>
    <row r="6231" spans="1:2" ht="15">
      <c r="A6231" s="77" t="s">
        <v>9886</v>
      </c>
      <c r="B6231" s="76" t="s">
        <v>10945</v>
      </c>
    </row>
    <row r="6232" spans="1:2" ht="15">
      <c r="A6232" s="77" t="s">
        <v>9887</v>
      </c>
      <c r="B6232" s="76" t="s">
        <v>10945</v>
      </c>
    </row>
    <row r="6233" spans="1:2" ht="15">
      <c r="A6233" s="77" t="s">
        <v>9888</v>
      </c>
      <c r="B6233" s="76" t="s">
        <v>10945</v>
      </c>
    </row>
    <row r="6234" spans="1:2" ht="15">
      <c r="A6234" s="77" t="s">
        <v>9889</v>
      </c>
      <c r="B6234" s="76" t="s">
        <v>10945</v>
      </c>
    </row>
    <row r="6235" spans="1:2" ht="15">
      <c r="A6235" s="77" t="s">
        <v>9890</v>
      </c>
      <c r="B6235" s="76" t="s">
        <v>10945</v>
      </c>
    </row>
    <row r="6236" spans="1:2" ht="15">
      <c r="A6236" s="77" t="s">
        <v>9891</v>
      </c>
      <c r="B6236" s="76" t="s">
        <v>10945</v>
      </c>
    </row>
    <row r="6237" spans="1:2" ht="15">
      <c r="A6237" s="77" t="s">
        <v>9892</v>
      </c>
      <c r="B6237" s="76" t="s">
        <v>10945</v>
      </c>
    </row>
    <row r="6238" spans="1:2" ht="15">
      <c r="A6238" s="77" t="s">
        <v>9893</v>
      </c>
      <c r="B6238" s="76" t="s">
        <v>10945</v>
      </c>
    </row>
    <row r="6239" spans="1:2" ht="15">
      <c r="A6239" s="77" t="s">
        <v>9894</v>
      </c>
      <c r="B6239" s="76" t="s">
        <v>10945</v>
      </c>
    </row>
    <row r="6240" spans="1:2" ht="15">
      <c r="A6240" s="77" t="s">
        <v>9895</v>
      </c>
      <c r="B6240" s="76" t="s">
        <v>10945</v>
      </c>
    </row>
    <row r="6241" spans="1:2" ht="15">
      <c r="A6241" s="77" t="s">
        <v>9896</v>
      </c>
      <c r="B6241" s="76" t="s">
        <v>10945</v>
      </c>
    </row>
    <row r="6242" spans="1:2" ht="15">
      <c r="A6242" s="77" t="s">
        <v>9897</v>
      </c>
      <c r="B6242" s="76" t="s">
        <v>10945</v>
      </c>
    </row>
    <row r="6243" spans="1:2" ht="15">
      <c r="A6243" s="77" t="s">
        <v>9898</v>
      </c>
      <c r="B6243" s="76" t="s">
        <v>10945</v>
      </c>
    </row>
    <row r="6244" spans="1:2" ht="15">
      <c r="A6244" s="77" t="s">
        <v>9899</v>
      </c>
      <c r="B6244" s="76" t="s">
        <v>10945</v>
      </c>
    </row>
    <row r="6245" spans="1:2" ht="15">
      <c r="A6245" s="77" t="s">
        <v>9900</v>
      </c>
      <c r="B6245" s="76" t="s">
        <v>10945</v>
      </c>
    </row>
    <row r="6246" spans="1:2" ht="15">
      <c r="A6246" s="77" t="s">
        <v>9901</v>
      </c>
      <c r="B6246" s="76" t="s">
        <v>10945</v>
      </c>
    </row>
    <row r="6247" spans="1:2" ht="15">
      <c r="A6247" s="77" t="s">
        <v>9902</v>
      </c>
      <c r="B6247" s="76" t="s">
        <v>10945</v>
      </c>
    </row>
    <row r="6248" spans="1:2" ht="15">
      <c r="A6248" s="77" t="s">
        <v>9903</v>
      </c>
      <c r="B6248" s="76" t="s">
        <v>10945</v>
      </c>
    </row>
    <row r="6249" spans="1:2" ht="15">
      <c r="A6249" s="77" t="s">
        <v>9904</v>
      </c>
      <c r="B6249" s="76" t="s">
        <v>10945</v>
      </c>
    </row>
    <row r="6250" spans="1:2" ht="15">
      <c r="A6250" s="77" t="s">
        <v>9905</v>
      </c>
      <c r="B6250" s="76" t="s">
        <v>10945</v>
      </c>
    </row>
    <row r="6251" spans="1:2" ht="15">
      <c r="A6251" s="77" t="s">
        <v>9906</v>
      </c>
      <c r="B6251" s="76" t="s">
        <v>10945</v>
      </c>
    </row>
    <row r="6252" spans="1:2" ht="15">
      <c r="A6252" s="77" t="s">
        <v>9907</v>
      </c>
      <c r="B6252" s="76" t="s">
        <v>10945</v>
      </c>
    </row>
    <row r="6253" spans="1:2" ht="15">
      <c r="A6253" s="77" t="s">
        <v>9908</v>
      </c>
      <c r="B6253" s="76" t="s">
        <v>10945</v>
      </c>
    </row>
    <row r="6254" spans="1:2" ht="15">
      <c r="A6254" s="77" t="s">
        <v>9909</v>
      </c>
      <c r="B6254" s="76" t="s">
        <v>10945</v>
      </c>
    </row>
    <row r="6255" spans="1:2" ht="15">
      <c r="A6255" s="77" t="s">
        <v>9910</v>
      </c>
      <c r="B6255" s="76" t="s">
        <v>10945</v>
      </c>
    </row>
    <row r="6256" spans="1:2" ht="15">
      <c r="A6256" s="77" t="s">
        <v>9911</v>
      </c>
      <c r="B6256" s="76" t="s">
        <v>10945</v>
      </c>
    </row>
    <row r="6257" spans="1:2" ht="15">
      <c r="A6257" s="77" t="s">
        <v>9912</v>
      </c>
      <c r="B6257" s="76" t="s">
        <v>10945</v>
      </c>
    </row>
    <row r="6258" spans="1:2" ht="15">
      <c r="A6258" s="77" t="s">
        <v>9913</v>
      </c>
      <c r="B6258" s="76" t="s">
        <v>10945</v>
      </c>
    </row>
    <row r="6259" spans="1:2" ht="15">
      <c r="A6259" s="77" t="s">
        <v>9914</v>
      </c>
      <c r="B6259" s="76" t="s">
        <v>10945</v>
      </c>
    </row>
    <row r="6260" spans="1:2" ht="15">
      <c r="A6260" s="77" t="s">
        <v>9915</v>
      </c>
      <c r="B6260" s="76" t="s">
        <v>10945</v>
      </c>
    </row>
    <row r="6261" spans="1:2" ht="15">
      <c r="A6261" s="77" t="s">
        <v>9916</v>
      </c>
      <c r="B6261" s="76" t="s">
        <v>10945</v>
      </c>
    </row>
    <row r="6262" spans="1:2" ht="15">
      <c r="A6262" s="77" t="s">
        <v>9917</v>
      </c>
      <c r="B6262" s="76" t="s">
        <v>10945</v>
      </c>
    </row>
    <row r="6263" spans="1:2" ht="15">
      <c r="A6263" s="77" t="s">
        <v>9918</v>
      </c>
      <c r="B6263" s="76" t="s">
        <v>10945</v>
      </c>
    </row>
    <row r="6264" spans="1:2" ht="15">
      <c r="A6264" s="77" t="s">
        <v>9919</v>
      </c>
      <c r="B6264" s="76" t="s">
        <v>10945</v>
      </c>
    </row>
    <row r="6265" spans="1:2" ht="15">
      <c r="A6265" s="77" t="s">
        <v>9920</v>
      </c>
      <c r="B6265" s="76" t="s">
        <v>10945</v>
      </c>
    </row>
    <row r="6266" spans="1:2" ht="15">
      <c r="A6266" s="77" t="s">
        <v>9921</v>
      </c>
      <c r="B6266" s="76" t="s">
        <v>10945</v>
      </c>
    </row>
    <row r="6267" spans="1:2" ht="15">
      <c r="A6267" s="77" t="s">
        <v>9922</v>
      </c>
      <c r="B6267" s="76" t="s">
        <v>10945</v>
      </c>
    </row>
    <row r="6268" spans="1:2" ht="15">
      <c r="A6268" s="77" t="s">
        <v>9923</v>
      </c>
      <c r="B6268" s="76" t="s">
        <v>10945</v>
      </c>
    </row>
    <row r="6269" spans="1:2" ht="15">
      <c r="A6269" s="77" t="s">
        <v>9924</v>
      </c>
      <c r="B6269" s="76" t="s">
        <v>10945</v>
      </c>
    </row>
    <row r="6270" spans="1:2" ht="15">
      <c r="A6270" s="77" t="s">
        <v>9925</v>
      </c>
      <c r="B6270" s="76" t="s">
        <v>10945</v>
      </c>
    </row>
    <row r="6271" spans="1:2" ht="15">
      <c r="A6271" s="77" t="s">
        <v>9926</v>
      </c>
      <c r="B6271" s="76" t="s">
        <v>10945</v>
      </c>
    </row>
    <row r="6272" spans="1:2" ht="15">
      <c r="A6272" s="77" t="s">
        <v>9927</v>
      </c>
      <c r="B6272" s="76" t="s">
        <v>10945</v>
      </c>
    </row>
    <row r="6273" spans="1:2" ht="15">
      <c r="A6273" s="77" t="s">
        <v>9928</v>
      </c>
      <c r="B6273" s="76" t="s">
        <v>10945</v>
      </c>
    </row>
    <row r="6274" spans="1:2" ht="15">
      <c r="A6274" s="77" t="s">
        <v>9929</v>
      </c>
      <c r="B6274" s="76" t="s">
        <v>10945</v>
      </c>
    </row>
    <row r="6275" spans="1:2" ht="15">
      <c r="A6275" s="77" t="s">
        <v>9930</v>
      </c>
      <c r="B6275" s="76" t="s">
        <v>10945</v>
      </c>
    </row>
    <row r="6276" spans="1:2" ht="15">
      <c r="A6276" s="77" t="s">
        <v>9931</v>
      </c>
      <c r="B6276" s="76" t="s">
        <v>10945</v>
      </c>
    </row>
    <row r="6277" spans="1:2" ht="15">
      <c r="A6277" s="77" t="s">
        <v>9932</v>
      </c>
      <c r="B6277" s="76" t="s">
        <v>10945</v>
      </c>
    </row>
    <row r="6278" spans="1:2" ht="15">
      <c r="A6278" s="77" t="s">
        <v>9933</v>
      </c>
      <c r="B6278" s="76" t="s">
        <v>10945</v>
      </c>
    </row>
    <row r="6279" spans="1:2" ht="15">
      <c r="A6279" s="77" t="s">
        <v>9934</v>
      </c>
      <c r="B6279" s="76" t="s">
        <v>10945</v>
      </c>
    </row>
    <row r="6280" spans="1:2" ht="15">
      <c r="A6280" s="77" t="s">
        <v>9935</v>
      </c>
      <c r="B6280" s="76" t="s">
        <v>10945</v>
      </c>
    </row>
    <row r="6281" spans="1:2" ht="15">
      <c r="A6281" s="77" t="s">
        <v>9936</v>
      </c>
      <c r="B6281" s="76" t="s">
        <v>10945</v>
      </c>
    </row>
    <row r="6282" spans="1:2" ht="15">
      <c r="A6282" s="77" t="s">
        <v>9937</v>
      </c>
      <c r="B6282" s="76" t="s">
        <v>10945</v>
      </c>
    </row>
    <row r="6283" spans="1:2" ht="15">
      <c r="A6283" s="77" t="s">
        <v>9938</v>
      </c>
      <c r="B6283" s="76" t="s">
        <v>10945</v>
      </c>
    </row>
    <row r="6284" spans="1:2" ht="15">
      <c r="A6284" s="77" t="s">
        <v>3430</v>
      </c>
      <c r="B6284" s="76" t="s">
        <v>10945</v>
      </c>
    </row>
    <row r="6285" spans="1:2" ht="15">
      <c r="A6285" s="77" t="s">
        <v>9939</v>
      </c>
      <c r="B6285" s="76" t="s">
        <v>10945</v>
      </c>
    </row>
    <row r="6286" spans="1:2" ht="15">
      <c r="A6286" s="77" t="s">
        <v>9940</v>
      </c>
      <c r="B6286" s="76" t="s">
        <v>10945</v>
      </c>
    </row>
    <row r="6287" spans="1:2" ht="15">
      <c r="A6287" s="77" t="s">
        <v>9941</v>
      </c>
      <c r="B6287" s="76" t="s">
        <v>10945</v>
      </c>
    </row>
    <row r="6288" spans="1:2" ht="15">
      <c r="A6288" s="77" t="s">
        <v>9942</v>
      </c>
      <c r="B6288" s="76" t="s">
        <v>10945</v>
      </c>
    </row>
    <row r="6289" spans="1:2" ht="15">
      <c r="A6289" s="77" t="s">
        <v>9943</v>
      </c>
      <c r="B6289" s="76" t="s">
        <v>10945</v>
      </c>
    </row>
    <row r="6290" spans="1:2" ht="15">
      <c r="A6290" s="77" t="s">
        <v>9944</v>
      </c>
      <c r="B6290" s="76" t="s">
        <v>10945</v>
      </c>
    </row>
    <row r="6291" spans="1:2" ht="15">
      <c r="A6291" s="77" t="s">
        <v>9945</v>
      </c>
      <c r="B6291" s="76" t="s">
        <v>10945</v>
      </c>
    </row>
    <row r="6292" spans="1:2" ht="15">
      <c r="A6292" s="77" t="s">
        <v>9946</v>
      </c>
      <c r="B6292" s="76" t="s">
        <v>10945</v>
      </c>
    </row>
    <row r="6293" spans="1:2" ht="15">
      <c r="A6293" s="77" t="s">
        <v>9947</v>
      </c>
      <c r="B6293" s="76" t="s">
        <v>10945</v>
      </c>
    </row>
    <row r="6294" spans="1:2" ht="15">
      <c r="A6294" s="77" t="s">
        <v>9948</v>
      </c>
      <c r="B6294" s="76" t="s">
        <v>10945</v>
      </c>
    </row>
    <row r="6295" spans="1:2" ht="15">
      <c r="A6295" s="77" t="s">
        <v>9949</v>
      </c>
      <c r="B6295" s="76" t="s">
        <v>10945</v>
      </c>
    </row>
    <row r="6296" spans="1:2" ht="15">
      <c r="A6296" s="77" t="s">
        <v>9950</v>
      </c>
      <c r="B6296" s="76" t="s">
        <v>10945</v>
      </c>
    </row>
    <row r="6297" spans="1:2" ht="15">
      <c r="A6297" s="77" t="s">
        <v>9951</v>
      </c>
      <c r="B6297" s="76" t="s">
        <v>10945</v>
      </c>
    </row>
    <row r="6298" spans="1:2" ht="15">
      <c r="A6298" s="77" t="s">
        <v>9952</v>
      </c>
      <c r="B6298" s="76" t="s">
        <v>10945</v>
      </c>
    </row>
    <row r="6299" spans="1:2" ht="15">
      <c r="A6299" s="77" t="s">
        <v>9953</v>
      </c>
      <c r="B6299" s="76" t="s">
        <v>10945</v>
      </c>
    </row>
    <row r="6300" spans="1:2" ht="15">
      <c r="A6300" s="77" t="s">
        <v>9954</v>
      </c>
      <c r="B6300" s="76" t="s">
        <v>10945</v>
      </c>
    </row>
    <row r="6301" spans="1:2" ht="15">
      <c r="A6301" s="77" t="s">
        <v>9955</v>
      </c>
      <c r="B6301" s="76" t="s">
        <v>10945</v>
      </c>
    </row>
    <row r="6302" spans="1:2" ht="15">
      <c r="A6302" s="77" t="s">
        <v>9956</v>
      </c>
      <c r="B6302" s="76" t="s">
        <v>10945</v>
      </c>
    </row>
    <row r="6303" spans="1:2" ht="15">
      <c r="A6303" s="77" t="s">
        <v>9957</v>
      </c>
      <c r="B6303" s="76" t="s">
        <v>10945</v>
      </c>
    </row>
    <row r="6304" spans="1:2" ht="15">
      <c r="A6304" s="77" t="s">
        <v>9958</v>
      </c>
      <c r="B6304" s="76" t="s">
        <v>10945</v>
      </c>
    </row>
    <row r="6305" spans="1:2" ht="15">
      <c r="A6305" s="77" t="s">
        <v>9959</v>
      </c>
      <c r="B6305" s="76" t="s">
        <v>10945</v>
      </c>
    </row>
    <row r="6306" spans="1:2" ht="15">
      <c r="A6306" s="77" t="s">
        <v>9960</v>
      </c>
      <c r="B6306" s="76" t="s">
        <v>10945</v>
      </c>
    </row>
    <row r="6307" spans="1:2" ht="15">
      <c r="A6307" s="77" t="s">
        <v>9961</v>
      </c>
      <c r="B6307" s="76" t="s">
        <v>10945</v>
      </c>
    </row>
    <row r="6308" spans="1:2" ht="15">
      <c r="A6308" s="77" t="s">
        <v>9962</v>
      </c>
      <c r="B6308" s="76" t="s">
        <v>10945</v>
      </c>
    </row>
    <row r="6309" spans="1:2" ht="15">
      <c r="A6309" s="77" t="s">
        <v>9963</v>
      </c>
      <c r="B6309" s="76" t="s">
        <v>10945</v>
      </c>
    </row>
    <row r="6310" spans="1:2" ht="15">
      <c r="A6310" s="77" t="s">
        <v>9964</v>
      </c>
      <c r="B6310" s="76" t="s">
        <v>10945</v>
      </c>
    </row>
    <row r="6311" spans="1:2" ht="15">
      <c r="A6311" s="77" t="s">
        <v>9965</v>
      </c>
      <c r="B6311" s="76" t="s">
        <v>10945</v>
      </c>
    </row>
    <row r="6312" spans="1:2" ht="15">
      <c r="A6312" s="77" t="s">
        <v>9966</v>
      </c>
      <c r="B6312" s="76" t="s">
        <v>10945</v>
      </c>
    </row>
    <row r="6313" spans="1:2" ht="15">
      <c r="A6313" s="77" t="s">
        <v>9967</v>
      </c>
      <c r="B6313" s="76" t="s">
        <v>10945</v>
      </c>
    </row>
    <row r="6314" spans="1:2" ht="15">
      <c r="A6314" s="77" t="s">
        <v>9968</v>
      </c>
      <c r="B6314" s="76" t="s">
        <v>10945</v>
      </c>
    </row>
    <row r="6315" spans="1:2" ht="15">
      <c r="A6315" s="77" t="s">
        <v>9969</v>
      </c>
      <c r="B6315" s="76" t="s">
        <v>10945</v>
      </c>
    </row>
    <row r="6316" spans="1:2" ht="15">
      <c r="A6316" s="77" t="s">
        <v>9970</v>
      </c>
      <c r="B6316" s="76" t="s">
        <v>10945</v>
      </c>
    </row>
    <row r="6317" spans="1:2" ht="15">
      <c r="A6317" s="77" t="s">
        <v>9971</v>
      </c>
      <c r="B6317" s="76" t="s">
        <v>10945</v>
      </c>
    </row>
    <row r="6318" spans="1:2" ht="15">
      <c r="A6318" s="77" t="s">
        <v>9972</v>
      </c>
      <c r="B6318" s="76" t="s">
        <v>10945</v>
      </c>
    </row>
    <row r="6319" spans="1:2" ht="15">
      <c r="A6319" s="77" t="s">
        <v>9973</v>
      </c>
      <c r="B6319" s="76" t="s">
        <v>10945</v>
      </c>
    </row>
    <row r="6320" spans="1:2" ht="15">
      <c r="A6320" s="77" t="s">
        <v>2869</v>
      </c>
      <c r="B6320" s="76" t="s">
        <v>10945</v>
      </c>
    </row>
    <row r="6321" spans="1:2" ht="15">
      <c r="A6321" s="77" t="s">
        <v>9974</v>
      </c>
      <c r="B6321" s="76" t="s">
        <v>10945</v>
      </c>
    </row>
    <row r="6322" spans="1:2" ht="15">
      <c r="A6322" s="77" t="s">
        <v>9975</v>
      </c>
      <c r="B6322" s="76" t="s">
        <v>10945</v>
      </c>
    </row>
    <row r="6323" spans="1:2" ht="15">
      <c r="A6323" s="77" t="s">
        <v>9976</v>
      </c>
      <c r="B6323" s="76" t="s">
        <v>10945</v>
      </c>
    </row>
    <row r="6324" spans="1:2" ht="15">
      <c r="A6324" s="77" t="s">
        <v>9977</v>
      </c>
      <c r="B6324" s="76" t="s">
        <v>10945</v>
      </c>
    </row>
    <row r="6325" spans="1:2" ht="15">
      <c r="A6325" s="77" t="s">
        <v>9978</v>
      </c>
      <c r="B6325" s="76" t="s">
        <v>10945</v>
      </c>
    </row>
    <row r="6326" spans="1:2" ht="15">
      <c r="A6326" s="77" t="s">
        <v>3708</v>
      </c>
      <c r="B6326" s="76" t="s">
        <v>10945</v>
      </c>
    </row>
    <row r="6327" spans="1:2" ht="15">
      <c r="A6327" s="77" t="s">
        <v>9979</v>
      </c>
      <c r="B6327" s="76" t="s">
        <v>10945</v>
      </c>
    </row>
    <row r="6328" spans="1:2" ht="15">
      <c r="A6328" s="77" t="s">
        <v>9980</v>
      </c>
      <c r="B6328" s="76" t="s">
        <v>10945</v>
      </c>
    </row>
    <row r="6329" spans="1:2" ht="15">
      <c r="A6329" s="77" t="s">
        <v>9981</v>
      </c>
      <c r="B6329" s="76" t="s">
        <v>10945</v>
      </c>
    </row>
    <row r="6330" spans="1:2" ht="15">
      <c r="A6330" s="77" t="s">
        <v>9982</v>
      </c>
      <c r="B6330" s="76" t="s">
        <v>10945</v>
      </c>
    </row>
    <row r="6331" spans="1:2" ht="15">
      <c r="A6331" s="77" t="s">
        <v>9983</v>
      </c>
      <c r="B6331" s="76" t="s">
        <v>10945</v>
      </c>
    </row>
    <row r="6332" spans="1:2" ht="15">
      <c r="A6332" s="77" t="s">
        <v>9984</v>
      </c>
      <c r="B6332" s="76" t="s">
        <v>10945</v>
      </c>
    </row>
    <row r="6333" spans="1:2" ht="15">
      <c r="A6333" s="77" t="s">
        <v>9985</v>
      </c>
      <c r="B6333" s="76" t="s">
        <v>10945</v>
      </c>
    </row>
    <row r="6334" spans="1:2" ht="15">
      <c r="A6334" s="77" t="s">
        <v>9986</v>
      </c>
      <c r="B6334" s="76" t="s">
        <v>10945</v>
      </c>
    </row>
    <row r="6335" spans="1:2" ht="15">
      <c r="A6335" s="77" t="s">
        <v>9987</v>
      </c>
      <c r="B6335" s="76" t="s">
        <v>10945</v>
      </c>
    </row>
    <row r="6336" spans="1:2" ht="15">
      <c r="A6336" s="77" t="s">
        <v>9988</v>
      </c>
      <c r="B6336" s="76" t="s">
        <v>10945</v>
      </c>
    </row>
    <row r="6337" spans="1:2" ht="15">
      <c r="A6337" s="77" t="s">
        <v>9989</v>
      </c>
      <c r="B6337" s="76" t="s">
        <v>10945</v>
      </c>
    </row>
    <row r="6338" spans="1:2" ht="15">
      <c r="A6338" s="77" t="s">
        <v>9990</v>
      </c>
      <c r="B6338" s="76" t="s">
        <v>10945</v>
      </c>
    </row>
    <row r="6339" spans="1:2" ht="15">
      <c r="A6339" s="77" t="s">
        <v>9991</v>
      </c>
      <c r="B6339" s="76" t="s">
        <v>10945</v>
      </c>
    </row>
    <row r="6340" spans="1:2" ht="15">
      <c r="A6340" s="77" t="s">
        <v>9992</v>
      </c>
      <c r="B6340" s="76" t="s">
        <v>10945</v>
      </c>
    </row>
    <row r="6341" spans="1:2" ht="15">
      <c r="A6341" s="77" t="s">
        <v>9993</v>
      </c>
      <c r="B6341" s="76" t="s">
        <v>10945</v>
      </c>
    </row>
    <row r="6342" spans="1:2" ht="15">
      <c r="A6342" s="77" t="s">
        <v>9994</v>
      </c>
      <c r="B6342" s="76" t="s">
        <v>10945</v>
      </c>
    </row>
    <row r="6343" spans="1:2" ht="15">
      <c r="A6343" s="77" t="s">
        <v>9995</v>
      </c>
      <c r="B6343" s="76" t="s">
        <v>10945</v>
      </c>
    </row>
    <row r="6344" spans="1:2" ht="15">
      <c r="A6344" s="77" t="s">
        <v>9996</v>
      </c>
      <c r="B6344" s="76" t="s">
        <v>10945</v>
      </c>
    </row>
    <row r="6345" spans="1:2" ht="15">
      <c r="A6345" s="77" t="s">
        <v>9997</v>
      </c>
      <c r="B6345" s="76" t="s">
        <v>10945</v>
      </c>
    </row>
    <row r="6346" spans="1:2" ht="15">
      <c r="A6346" s="77" t="s">
        <v>9998</v>
      </c>
      <c r="B6346" s="76" t="s">
        <v>10945</v>
      </c>
    </row>
    <row r="6347" spans="1:2" ht="15">
      <c r="A6347" s="77" t="s">
        <v>9999</v>
      </c>
      <c r="B6347" s="76" t="s">
        <v>10945</v>
      </c>
    </row>
    <row r="6348" spans="1:2" ht="15">
      <c r="A6348" s="77" t="s">
        <v>10000</v>
      </c>
      <c r="B6348" s="76" t="s">
        <v>10945</v>
      </c>
    </row>
    <row r="6349" spans="1:2" ht="15">
      <c r="A6349" s="77" t="s">
        <v>10001</v>
      </c>
      <c r="B6349" s="76" t="s">
        <v>10945</v>
      </c>
    </row>
    <row r="6350" spans="1:2" ht="15">
      <c r="A6350" s="77" t="s">
        <v>10002</v>
      </c>
      <c r="B6350" s="76" t="s">
        <v>10945</v>
      </c>
    </row>
    <row r="6351" spans="1:2" ht="15">
      <c r="A6351" s="77" t="s">
        <v>10003</v>
      </c>
      <c r="B6351" s="76" t="s">
        <v>10945</v>
      </c>
    </row>
    <row r="6352" spans="1:2" ht="15">
      <c r="A6352" s="77" t="s">
        <v>10004</v>
      </c>
      <c r="B6352" s="76" t="s">
        <v>10945</v>
      </c>
    </row>
    <row r="6353" spans="1:2" ht="15">
      <c r="A6353" s="77" t="s">
        <v>10005</v>
      </c>
      <c r="B6353" s="76" t="s">
        <v>10945</v>
      </c>
    </row>
    <row r="6354" spans="1:2" ht="15">
      <c r="A6354" s="77" t="s">
        <v>10006</v>
      </c>
      <c r="B6354" s="76" t="s">
        <v>10945</v>
      </c>
    </row>
    <row r="6355" spans="1:2" ht="15">
      <c r="A6355" s="77" t="s">
        <v>10007</v>
      </c>
      <c r="B6355" s="76" t="s">
        <v>10945</v>
      </c>
    </row>
    <row r="6356" spans="1:2" ht="15">
      <c r="A6356" s="77" t="s">
        <v>10008</v>
      </c>
      <c r="B6356" s="76" t="s">
        <v>10945</v>
      </c>
    </row>
    <row r="6357" spans="1:2" ht="15">
      <c r="A6357" s="77" t="s">
        <v>10009</v>
      </c>
      <c r="B6357" s="76" t="s">
        <v>10945</v>
      </c>
    </row>
    <row r="6358" spans="1:2" ht="15">
      <c r="A6358" s="77" t="s">
        <v>10010</v>
      </c>
      <c r="B6358" s="76" t="s">
        <v>10945</v>
      </c>
    </row>
    <row r="6359" spans="1:2" ht="15">
      <c r="A6359" s="77" t="s">
        <v>10011</v>
      </c>
      <c r="B6359" s="76" t="s">
        <v>10945</v>
      </c>
    </row>
    <row r="6360" spans="1:2" ht="15">
      <c r="A6360" s="77" t="s">
        <v>10012</v>
      </c>
      <c r="B6360" s="76" t="s">
        <v>10945</v>
      </c>
    </row>
    <row r="6361" spans="1:2" ht="15">
      <c r="A6361" s="77" t="s">
        <v>10013</v>
      </c>
      <c r="B6361" s="76" t="s">
        <v>10945</v>
      </c>
    </row>
    <row r="6362" spans="1:2" ht="15">
      <c r="A6362" s="77" t="s">
        <v>10014</v>
      </c>
      <c r="B6362" s="76" t="s">
        <v>10945</v>
      </c>
    </row>
    <row r="6363" spans="1:2" ht="15">
      <c r="A6363" s="77" t="s">
        <v>10015</v>
      </c>
      <c r="B6363" s="76" t="s">
        <v>10945</v>
      </c>
    </row>
    <row r="6364" spans="1:2" ht="15">
      <c r="A6364" s="77" t="s">
        <v>10016</v>
      </c>
      <c r="B6364" s="76" t="s">
        <v>10945</v>
      </c>
    </row>
    <row r="6365" spans="1:2" ht="15">
      <c r="A6365" s="77" t="s">
        <v>10017</v>
      </c>
      <c r="B6365" s="76" t="s">
        <v>10945</v>
      </c>
    </row>
    <row r="6366" spans="1:2" ht="15">
      <c r="A6366" s="77" t="s">
        <v>10018</v>
      </c>
      <c r="B6366" s="76" t="s">
        <v>10945</v>
      </c>
    </row>
    <row r="6367" spans="1:2" ht="15">
      <c r="A6367" s="77" t="s">
        <v>10019</v>
      </c>
      <c r="B6367" s="76" t="s">
        <v>10945</v>
      </c>
    </row>
    <row r="6368" spans="1:2" ht="15">
      <c r="A6368" s="77" t="s">
        <v>10020</v>
      </c>
      <c r="B6368" s="76" t="s">
        <v>10945</v>
      </c>
    </row>
    <row r="6369" spans="1:2" ht="15">
      <c r="A6369" s="77" t="s">
        <v>10021</v>
      </c>
      <c r="B6369" s="76" t="s">
        <v>10945</v>
      </c>
    </row>
    <row r="6370" spans="1:2" ht="15">
      <c r="A6370" s="77" t="s">
        <v>10022</v>
      </c>
      <c r="B6370" s="76" t="s">
        <v>10945</v>
      </c>
    </row>
    <row r="6371" spans="1:2" ht="15">
      <c r="A6371" s="77" t="s">
        <v>10023</v>
      </c>
      <c r="B6371" s="76" t="s">
        <v>10945</v>
      </c>
    </row>
    <row r="6372" spans="1:2" ht="15">
      <c r="A6372" s="77" t="s">
        <v>10024</v>
      </c>
      <c r="B6372" s="76" t="s">
        <v>10945</v>
      </c>
    </row>
    <row r="6373" spans="1:2" ht="15">
      <c r="A6373" s="77" t="s">
        <v>10025</v>
      </c>
      <c r="B6373" s="76" t="s">
        <v>10945</v>
      </c>
    </row>
    <row r="6374" spans="1:2" ht="15">
      <c r="A6374" s="77" t="s">
        <v>10026</v>
      </c>
      <c r="B6374" s="76" t="s">
        <v>10945</v>
      </c>
    </row>
    <row r="6375" spans="1:2" ht="15">
      <c r="A6375" s="77" t="s">
        <v>10027</v>
      </c>
      <c r="B6375" s="76" t="s">
        <v>10945</v>
      </c>
    </row>
    <row r="6376" spans="1:2" ht="15">
      <c r="A6376" s="77" t="s">
        <v>10028</v>
      </c>
      <c r="B6376" s="76" t="s">
        <v>10945</v>
      </c>
    </row>
    <row r="6377" spans="1:2" ht="15">
      <c r="A6377" s="77" t="s">
        <v>10029</v>
      </c>
      <c r="B6377" s="76" t="s">
        <v>10945</v>
      </c>
    </row>
    <row r="6378" spans="1:2" ht="15">
      <c r="A6378" s="77" t="s">
        <v>10030</v>
      </c>
      <c r="B6378" s="76" t="s">
        <v>10945</v>
      </c>
    </row>
    <row r="6379" spans="1:2" ht="15">
      <c r="A6379" s="77" t="s">
        <v>10031</v>
      </c>
      <c r="B6379" s="76" t="s">
        <v>10945</v>
      </c>
    </row>
    <row r="6380" spans="1:2" ht="15">
      <c r="A6380" s="77" t="s">
        <v>10032</v>
      </c>
      <c r="B6380" s="76" t="s">
        <v>10945</v>
      </c>
    </row>
    <row r="6381" spans="1:2" ht="15">
      <c r="A6381" s="77" t="s">
        <v>10033</v>
      </c>
      <c r="B6381" s="76" t="s">
        <v>10945</v>
      </c>
    </row>
    <row r="6382" spans="1:2" ht="15">
      <c r="A6382" s="77" t="s">
        <v>10034</v>
      </c>
      <c r="B6382" s="76" t="s">
        <v>10945</v>
      </c>
    </row>
    <row r="6383" spans="1:2" ht="15">
      <c r="A6383" s="77" t="s">
        <v>10035</v>
      </c>
      <c r="B6383" s="76" t="s">
        <v>10945</v>
      </c>
    </row>
    <row r="6384" spans="1:2" ht="15">
      <c r="A6384" s="77" t="s">
        <v>10036</v>
      </c>
      <c r="B6384" s="76" t="s">
        <v>10945</v>
      </c>
    </row>
    <row r="6385" spans="1:2" ht="15">
      <c r="A6385" s="77" t="s">
        <v>10037</v>
      </c>
      <c r="B6385" s="76" t="s">
        <v>10945</v>
      </c>
    </row>
    <row r="6386" spans="1:2" ht="15">
      <c r="A6386" s="77" t="s">
        <v>10038</v>
      </c>
      <c r="B6386" s="76" t="s">
        <v>10945</v>
      </c>
    </row>
    <row r="6387" spans="1:2" ht="15">
      <c r="A6387" s="77" t="s">
        <v>10039</v>
      </c>
      <c r="B6387" s="76" t="s">
        <v>10945</v>
      </c>
    </row>
    <row r="6388" spans="1:2" ht="15">
      <c r="A6388" s="77" t="s">
        <v>10040</v>
      </c>
      <c r="B6388" s="76" t="s">
        <v>10945</v>
      </c>
    </row>
    <row r="6389" spans="1:2" ht="15">
      <c r="A6389" s="77" t="s">
        <v>10041</v>
      </c>
      <c r="B6389" s="76" t="s">
        <v>10945</v>
      </c>
    </row>
    <row r="6390" spans="1:2" ht="15">
      <c r="A6390" s="77" t="s">
        <v>10042</v>
      </c>
      <c r="B6390" s="76" t="s">
        <v>10945</v>
      </c>
    </row>
    <row r="6391" spans="1:2" ht="15">
      <c r="A6391" s="77" t="s">
        <v>10043</v>
      </c>
      <c r="B6391" s="76" t="s">
        <v>10945</v>
      </c>
    </row>
    <row r="6392" spans="1:2" ht="15">
      <c r="A6392" s="77" t="s">
        <v>10044</v>
      </c>
      <c r="B6392" s="76" t="s">
        <v>10945</v>
      </c>
    </row>
    <row r="6393" spans="1:2" ht="15">
      <c r="A6393" s="77" t="s">
        <v>10045</v>
      </c>
      <c r="B6393" s="76" t="s">
        <v>10945</v>
      </c>
    </row>
    <row r="6394" spans="1:2" ht="15">
      <c r="A6394" s="77" t="s">
        <v>10046</v>
      </c>
      <c r="B6394" s="76" t="s">
        <v>10945</v>
      </c>
    </row>
    <row r="6395" spans="1:2" ht="15">
      <c r="A6395" s="77" t="s">
        <v>10047</v>
      </c>
      <c r="B6395" s="76" t="s">
        <v>10945</v>
      </c>
    </row>
    <row r="6396" spans="1:2" ht="15">
      <c r="A6396" s="77" t="s">
        <v>10048</v>
      </c>
      <c r="B6396" s="76" t="s">
        <v>10945</v>
      </c>
    </row>
    <row r="6397" spans="1:2" ht="15">
      <c r="A6397" s="77" t="s">
        <v>10049</v>
      </c>
      <c r="B6397" s="76" t="s">
        <v>10945</v>
      </c>
    </row>
    <row r="6398" spans="1:2" ht="15">
      <c r="A6398" s="77" t="s">
        <v>10050</v>
      </c>
      <c r="B6398" s="76" t="s">
        <v>10945</v>
      </c>
    </row>
    <row r="6399" spans="1:2" ht="15">
      <c r="A6399" s="77" t="s">
        <v>10051</v>
      </c>
      <c r="B6399" s="76" t="s">
        <v>10945</v>
      </c>
    </row>
    <row r="6400" spans="1:2" ht="15">
      <c r="A6400" s="77" t="s">
        <v>10052</v>
      </c>
      <c r="B6400" s="76" t="s">
        <v>10945</v>
      </c>
    </row>
    <row r="6401" spans="1:2" ht="15">
      <c r="A6401" s="77" t="s">
        <v>10053</v>
      </c>
      <c r="B6401" s="76" t="s">
        <v>10945</v>
      </c>
    </row>
    <row r="6402" spans="1:2" ht="15">
      <c r="A6402" s="77" t="s">
        <v>3711</v>
      </c>
      <c r="B6402" s="76" t="s">
        <v>10945</v>
      </c>
    </row>
    <row r="6403" spans="1:2" ht="15">
      <c r="A6403" s="77" t="s">
        <v>10054</v>
      </c>
      <c r="B6403" s="76" t="s">
        <v>10945</v>
      </c>
    </row>
    <row r="6404" spans="1:2" ht="15">
      <c r="A6404" s="77" t="s">
        <v>10055</v>
      </c>
      <c r="B6404" s="76" t="s">
        <v>10945</v>
      </c>
    </row>
    <row r="6405" spans="1:2" ht="15">
      <c r="A6405" s="77" t="s">
        <v>10056</v>
      </c>
      <c r="B6405" s="76" t="s">
        <v>10945</v>
      </c>
    </row>
    <row r="6406" spans="1:2" ht="15">
      <c r="A6406" s="77" t="s">
        <v>10057</v>
      </c>
      <c r="B6406" s="76" t="s">
        <v>10945</v>
      </c>
    </row>
    <row r="6407" spans="1:2" ht="15">
      <c r="A6407" s="77" t="s">
        <v>10058</v>
      </c>
      <c r="B6407" s="76" t="s">
        <v>10945</v>
      </c>
    </row>
    <row r="6408" spans="1:2" ht="15">
      <c r="A6408" s="77" t="s">
        <v>10059</v>
      </c>
      <c r="B6408" s="76" t="s">
        <v>10945</v>
      </c>
    </row>
    <row r="6409" spans="1:2" ht="15">
      <c r="A6409" s="77" t="s">
        <v>10060</v>
      </c>
      <c r="B6409" s="76" t="s">
        <v>10945</v>
      </c>
    </row>
    <row r="6410" spans="1:2" ht="15">
      <c r="A6410" s="77" t="s">
        <v>10061</v>
      </c>
      <c r="B6410" s="76" t="s">
        <v>10945</v>
      </c>
    </row>
    <row r="6411" spans="1:2" ht="15">
      <c r="A6411" s="77" t="s">
        <v>10062</v>
      </c>
      <c r="B6411" s="76" t="s">
        <v>10945</v>
      </c>
    </row>
    <row r="6412" spans="1:2" ht="15">
      <c r="A6412" s="77" t="s">
        <v>10063</v>
      </c>
      <c r="B6412" s="76" t="s">
        <v>10945</v>
      </c>
    </row>
    <row r="6413" spans="1:2" ht="15">
      <c r="A6413" s="77" t="s">
        <v>10064</v>
      </c>
      <c r="B6413" s="76" t="s">
        <v>10945</v>
      </c>
    </row>
    <row r="6414" spans="1:2" ht="15">
      <c r="A6414" s="77" t="s">
        <v>10065</v>
      </c>
      <c r="B6414" s="76" t="s">
        <v>10945</v>
      </c>
    </row>
    <row r="6415" spans="1:2" ht="15">
      <c r="A6415" s="77" t="s">
        <v>10066</v>
      </c>
      <c r="B6415" s="76" t="s">
        <v>10945</v>
      </c>
    </row>
    <row r="6416" spans="1:2" ht="15">
      <c r="A6416" s="77" t="s">
        <v>10067</v>
      </c>
      <c r="B6416" s="76" t="s">
        <v>10945</v>
      </c>
    </row>
    <row r="6417" spans="1:2" ht="15">
      <c r="A6417" s="77" t="s">
        <v>10068</v>
      </c>
      <c r="B6417" s="76" t="s">
        <v>10945</v>
      </c>
    </row>
    <row r="6418" spans="1:2" ht="15">
      <c r="A6418" s="77" t="s">
        <v>10069</v>
      </c>
      <c r="B6418" s="76" t="s">
        <v>10945</v>
      </c>
    </row>
    <row r="6419" spans="1:2" ht="15">
      <c r="A6419" s="77" t="s">
        <v>10070</v>
      </c>
      <c r="B6419" s="76" t="s">
        <v>10945</v>
      </c>
    </row>
    <row r="6420" spans="1:2" ht="15">
      <c r="A6420" s="77" t="s">
        <v>10071</v>
      </c>
      <c r="B6420" s="76" t="s">
        <v>10945</v>
      </c>
    </row>
    <row r="6421" spans="1:2" ht="15">
      <c r="A6421" s="77" t="s">
        <v>10072</v>
      </c>
      <c r="B6421" s="76" t="s">
        <v>10945</v>
      </c>
    </row>
    <row r="6422" spans="1:2" ht="15">
      <c r="A6422" s="77" t="s">
        <v>10073</v>
      </c>
      <c r="B6422" s="76" t="s">
        <v>10945</v>
      </c>
    </row>
    <row r="6423" spans="1:2" ht="15">
      <c r="A6423" s="77" t="s">
        <v>10074</v>
      </c>
      <c r="B6423" s="76" t="s">
        <v>10945</v>
      </c>
    </row>
    <row r="6424" spans="1:2" ht="15">
      <c r="A6424" s="77" t="s">
        <v>10075</v>
      </c>
      <c r="B6424" s="76" t="s">
        <v>10945</v>
      </c>
    </row>
    <row r="6425" spans="1:2" ht="15">
      <c r="A6425" s="77" t="s">
        <v>10076</v>
      </c>
      <c r="B6425" s="76" t="s">
        <v>10945</v>
      </c>
    </row>
    <row r="6426" spans="1:2" ht="15">
      <c r="A6426" s="77" t="s">
        <v>10077</v>
      </c>
      <c r="B6426" s="76" t="s">
        <v>10945</v>
      </c>
    </row>
    <row r="6427" spans="1:2" ht="15">
      <c r="A6427" s="77" t="s">
        <v>10078</v>
      </c>
      <c r="B6427" s="76" t="s">
        <v>10945</v>
      </c>
    </row>
    <row r="6428" spans="1:2" ht="15">
      <c r="A6428" s="77" t="s">
        <v>10079</v>
      </c>
      <c r="B6428" s="76" t="s">
        <v>10945</v>
      </c>
    </row>
    <row r="6429" spans="1:2" ht="15">
      <c r="A6429" s="77" t="s">
        <v>10080</v>
      </c>
      <c r="B6429" s="76" t="s">
        <v>10945</v>
      </c>
    </row>
    <row r="6430" spans="1:2" ht="15">
      <c r="A6430" s="77" t="s">
        <v>10081</v>
      </c>
      <c r="B6430" s="76" t="s">
        <v>10945</v>
      </c>
    </row>
    <row r="6431" spans="1:2" ht="15">
      <c r="A6431" s="77" t="s">
        <v>10082</v>
      </c>
      <c r="B6431" s="76" t="s">
        <v>10945</v>
      </c>
    </row>
    <row r="6432" spans="1:2" ht="15">
      <c r="A6432" s="77" t="s">
        <v>10083</v>
      </c>
      <c r="B6432" s="76" t="s">
        <v>10945</v>
      </c>
    </row>
    <row r="6433" spans="1:2" ht="15">
      <c r="A6433" s="77" t="s">
        <v>10084</v>
      </c>
      <c r="B6433" s="76" t="s">
        <v>10945</v>
      </c>
    </row>
    <row r="6434" spans="1:2" ht="15">
      <c r="A6434" s="77" t="s">
        <v>10085</v>
      </c>
      <c r="B6434" s="76" t="s">
        <v>10945</v>
      </c>
    </row>
    <row r="6435" spans="1:2" ht="15">
      <c r="A6435" s="77" t="s">
        <v>10086</v>
      </c>
      <c r="B6435" s="76" t="s">
        <v>10945</v>
      </c>
    </row>
    <row r="6436" spans="1:2" ht="15">
      <c r="A6436" s="77" t="s">
        <v>10087</v>
      </c>
      <c r="B6436" s="76" t="s">
        <v>10945</v>
      </c>
    </row>
    <row r="6437" spans="1:2" ht="15">
      <c r="A6437" s="77" t="s">
        <v>10088</v>
      </c>
      <c r="B6437" s="76" t="s">
        <v>10945</v>
      </c>
    </row>
    <row r="6438" spans="1:2" ht="15">
      <c r="A6438" s="77" t="s">
        <v>10089</v>
      </c>
      <c r="B6438" s="76" t="s">
        <v>10945</v>
      </c>
    </row>
    <row r="6439" spans="1:2" ht="15">
      <c r="A6439" s="77" t="s">
        <v>10090</v>
      </c>
      <c r="B6439" s="76" t="s">
        <v>10945</v>
      </c>
    </row>
    <row r="6440" spans="1:2" ht="15">
      <c r="A6440" s="77" t="s">
        <v>10091</v>
      </c>
      <c r="B6440" s="76" t="s">
        <v>10945</v>
      </c>
    </row>
    <row r="6441" spans="1:2" ht="15">
      <c r="A6441" s="77" t="s">
        <v>10092</v>
      </c>
      <c r="B6441" s="76" t="s">
        <v>10945</v>
      </c>
    </row>
    <row r="6442" spans="1:2" ht="15">
      <c r="A6442" s="77" t="s">
        <v>10093</v>
      </c>
      <c r="B6442" s="76" t="s">
        <v>10945</v>
      </c>
    </row>
    <row r="6443" spans="1:2" ht="15">
      <c r="A6443" s="77" t="s">
        <v>10094</v>
      </c>
      <c r="B6443" s="76" t="s">
        <v>10945</v>
      </c>
    </row>
    <row r="6444" spans="1:2" ht="15">
      <c r="A6444" s="77" t="s">
        <v>10095</v>
      </c>
      <c r="B6444" s="76" t="s">
        <v>10945</v>
      </c>
    </row>
    <row r="6445" spans="1:2" ht="15">
      <c r="A6445" s="77" t="s">
        <v>10096</v>
      </c>
      <c r="B6445" s="76" t="s">
        <v>10945</v>
      </c>
    </row>
    <row r="6446" spans="1:2" ht="15">
      <c r="A6446" s="77" t="s">
        <v>10097</v>
      </c>
      <c r="B6446" s="76" t="s">
        <v>10945</v>
      </c>
    </row>
    <row r="6447" spans="1:2" ht="15">
      <c r="A6447" s="77" t="s">
        <v>10098</v>
      </c>
      <c r="B6447" s="76" t="s">
        <v>10945</v>
      </c>
    </row>
    <row r="6448" spans="1:2" ht="15">
      <c r="A6448" s="77" t="s">
        <v>10099</v>
      </c>
      <c r="B6448" s="76" t="s">
        <v>10945</v>
      </c>
    </row>
    <row r="6449" spans="1:2" ht="15">
      <c r="A6449" s="77" t="s">
        <v>10100</v>
      </c>
      <c r="B6449" s="76" t="s">
        <v>10945</v>
      </c>
    </row>
    <row r="6450" spans="1:2" ht="15">
      <c r="A6450" s="77" t="s">
        <v>10101</v>
      </c>
      <c r="B6450" s="76" t="s">
        <v>10945</v>
      </c>
    </row>
    <row r="6451" spans="1:2" ht="15">
      <c r="A6451" s="77" t="s">
        <v>10102</v>
      </c>
      <c r="B6451" s="76" t="s">
        <v>10945</v>
      </c>
    </row>
    <row r="6452" spans="1:2" ht="15">
      <c r="A6452" s="77" t="s">
        <v>10103</v>
      </c>
      <c r="B6452" s="76" t="s">
        <v>10945</v>
      </c>
    </row>
    <row r="6453" spans="1:2" ht="15">
      <c r="A6453" s="77" t="s">
        <v>10104</v>
      </c>
      <c r="B6453" s="76" t="s">
        <v>10945</v>
      </c>
    </row>
    <row r="6454" spans="1:2" ht="15">
      <c r="A6454" s="77" t="s">
        <v>10105</v>
      </c>
      <c r="B6454" s="76" t="s">
        <v>10945</v>
      </c>
    </row>
    <row r="6455" spans="1:2" ht="15">
      <c r="A6455" s="77" t="s">
        <v>10106</v>
      </c>
      <c r="B6455" s="76" t="s">
        <v>10945</v>
      </c>
    </row>
    <row r="6456" spans="1:2" ht="15">
      <c r="A6456" s="77" t="s">
        <v>10107</v>
      </c>
      <c r="B6456" s="76" t="s">
        <v>10945</v>
      </c>
    </row>
    <row r="6457" spans="1:2" ht="15">
      <c r="A6457" s="77" t="s">
        <v>10108</v>
      </c>
      <c r="B6457" s="76" t="s">
        <v>10945</v>
      </c>
    </row>
    <row r="6458" spans="1:2" ht="15">
      <c r="A6458" s="77" t="s">
        <v>10109</v>
      </c>
      <c r="B6458" s="76" t="s">
        <v>10945</v>
      </c>
    </row>
    <row r="6459" spans="1:2" ht="15">
      <c r="A6459" s="77" t="s">
        <v>10110</v>
      </c>
      <c r="B6459" s="76" t="s">
        <v>10945</v>
      </c>
    </row>
    <row r="6460" spans="1:2" ht="15">
      <c r="A6460" s="77" t="s">
        <v>10111</v>
      </c>
      <c r="B6460" s="76" t="s">
        <v>10945</v>
      </c>
    </row>
    <row r="6461" spans="1:2" ht="15">
      <c r="A6461" s="77" t="s">
        <v>10112</v>
      </c>
      <c r="B6461" s="76" t="s">
        <v>10945</v>
      </c>
    </row>
    <row r="6462" spans="1:2" ht="15">
      <c r="A6462" s="77" t="s">
        <v>10113</v>
      </c>
      <c r="B6462" s="76" t="s">
        <v>10945</v>
      </c>
    </row>
    <row r="6463" spans="1:2" ht="15">
      <c r="A6463" s="77" t="s">
        <v>10114</v>
      </c>
      <c r="B6463" s="76" t="s">
        <v>10945</v>
      </c>
    </row>
    <row r="6464" spans="1:2" ht="15">
      <c r="A6464" s="77" t="s">
        <v>10115</v>
      </c>
      <c r="B6464" s="76" t="s">
        <v>10945</v>
      </c>
    </row>
    <row r="6465" spans="1:2" ht="15">
      <c r="A6465" s="77" t="s">
        <v>10116</v>
      </c>
      <c r="B6465" s="76" t="s">
        <v>10945</v>
      </c>
    </row>
    <row r="6466" spans="1:2" ht="15">
      <c r="A6466" s="77" t="s">
        <v>10117</v>
      </c>
      <c r="B6466" s="76" t="s">
        <v>10945</v>
      </c>
    </row>
    <row r="6467" spans="1:2" ht="15">
      <c r="A6467" s="77" t="s">
        <v>10118</v>
      </c>
      <c r="B6467" s="76" t="s">
        <v>10945</v>
      </c>
    </row>
    <row r="6468" spans="1:2" ht="15">
      <c r="A6468" s="77" t="s">
        <v>10119</v>
      </c>
      <c r="B6468" s="76" t="s">
        <v>10945</v>
      </c>
    </row>
    <row r="6469" spans="1:2" ht="15">
      <c r="A6469" s="77" t="s">
        <v>10120</v>
      </c>
      <c r="B6469" s="76" t="s">
        <v>10945</v>
      </c>
    </row>
    <row r="6470" spans="1:2" ht="15">
      <c r="A6470" s="77" t="s">
        <v>10121</v>
      </c>
      <c r="B6470" s="76" t="s">
        <v>10945</v>
      </c>
    </row>
    <row r="6471" spans="1:2" ht="15">
      <c r="A6471" s="77" t="s">
        <v>10122</v>
      </c>
      <c r="B6471" s="76" t="s">
        <v>10945</v>
      </c>
    </row>
    <row r="6472" spans="1:2" ht="15">
      <c r="A6472" s="77" t="s">
        <v>10123</v>
      </c>
      <c r="B6472" s="76" t="s">
        <v>10945</v>
      </c>
    </row>
    <row r="6473" spans="1:2" ht="15">
      <c r="A6473" s="77" t="s">
        <v>10124</v>
      </c>
      <c r="B6473" s="76" t="s">
        <v>10945</v>
      </c>
    </row>
    <row r="6474" spans="1:2" ht="15">
      <c r="A6474" s="77" t="s">
        <v>10125</v>
      </c>
      <c r="B6474" s="76" t="s">
        <v>10945</v>
      </c>
    </row>
    <row r="6475" spans="1:2" ht="15">
      <c r="A6475" s="77" t="s">
        <v>10126</v>
      </c>
      <c r="B6475" s="76" t="s">
        <v>10945</v>
      </c>
    </row>
    <row r="6476" spans="1:2" ht="15">
      <c r="A6476" s="77" t="s">
        <v>10127</v>
      </c>
      <c r="B6476" s="76" t="s">
        <v>10945</v>
      </c>
    </row>
    <row r="6477" spans="1:2" ht="15">
      <c r="A6477" s="77" t="s">
        <v>10128</v>
      </c>
      <c r="B6477" s="76" t="s">
        <v>10945</v>
      </c>
    </row>
    <row r="6478" spans="1:2" ht="15">
      <c r="A6478" s="77" t="s">
        <v>10129</v>
      </c>
      <c r="B6478" s="76" t="s">
        <v>10945</v>
      </c>
    </row>
    <row r="6479" spans="1:2" ht="15">
      <c r="A6479" s="77" t="s">
        <v>10130</v>
      </c>
      <c r="B6479" s="76" t="s">
        <v>10945</v>
      </c>
    </row>
    <row r="6480" spans="1:2" ht="15">
      <c r="A6480" s="77" t="s">
        <v>10131</v>
      </c>
      <c r="B6480" s="76" t="s">
        <v>10945</v>
      </c>
    </row>
    <row r="6481" spans="1:2" ht="15">
      <c r="A6481" s="77" t="s">
        <v>10132</v>
      </c>
      <c r="B6481" s="76" t="s">
        <v>10945</v>
      </c>
    </row>
    <row r="6482" spans="1:2" ht="15">
      <c r="A6482" s="77" t="s">
        <v>3480</v>
      </c>
      <c r="B6482" s="76" t="s">
        <v>10945</v>
      </c>
    </row>
    <row r="6483" spans="1:2" ht="15">
      <c r="A6483" s="77" t="s">
        <v>10133</v>
      </c>
      <c r="B6483" s="76" t="s">
        <v>10945</v>
      </c>
    </row>
    <row r="6484" spans="1:2" ht="15">
      <c r="A6484" s="77" t="s">
        <v>10134</v>
      </c>
      <c r="B6484" s="76" t="s">
        <v>10945</v>
      </c>
    </row>
    <row r="6485" spans="1:2" ht="15">
      <c r="A6485" s="77" t="s">
        <v>10135</v>
      </c>
      <c r="B6485" s="76" t="s">
        <v>10945</v>
      </c>
    </row>
    <row r="6486" spans="1:2" ht="15">
      <c r="A6486" s="77" t="s">
        <v>10136</v>
      </c>
      <c r="B6486" s="76" t="s">
        <v>10945</v>
      </c>
    </row>
    <row r="6487" spans="1:2" ht="15">
      <c r="A6487" s="77" t="s">
        <v>10137</v>
      </c>
      <c r="B6487" s="76" t="s">
        <v>10945</v>
      </c>
    </row>
    <row r="6488" spans="1:2" ht="15">
      <c r="A6488" s="77" t="s">
        <v>10138</v>
      </c>
      <c r="B6488" s="76" t="s">
        <v>10945</v>
      </c>
    </row>
    <row r="6489" spans="1:2" ht="15">
      <c r="A6489" s="77" t="s">
        <v>10139</v>
      </c>
      <c r="B6489" s="76" t="s">
        <v>10945</v>
      </c>
    </row>
    <row r="6490" spans="1:2" ht="15">
      <c r="A6490" s="77" t="s">
        <v>10140</v>
      </c>
      <c r="B6490" s="76" t="s">
        <v>10945</v>
      </c>
    </row>
    <row r="6491" spans="1:2" ht="15">
      <c r="A6491" s="77" t="s">
        <v>10141</v>
      </c>
      <c r="B6491" s="76" t="s">
        <v>10945</v>
      </c>
    </row>
    <row r="6492" spans="1:2" ht="15">
      <c r="A6492" s="77" t="s">
        <v>10142</v>
      </c>
      <c r="B6492" s="76" t="s">
        <v>10945</v>
      </c>
    </row>
    <row r="6493" spans="1:2" ht="15">
      <c r="A6493" s="77" t="s">
        <v>10143</v>
      </c>
      <c r="B6493" s="76" t="s">
        <v>10945</v>
      </c>
    </row>
    <row r="6494" spans="1:2" ht="15">
      <c r="A6494" s="77" t="s">
        <v>10144</v>
      </c>
      <c r="B6494" s="76" t="s">
        <v>10945</v>
      </c>
    </row>
    <row r="6495" spans="1:2" ht="15">
      <c r="A6495" s="77" t="s">
        <v>10145</v>
      </c>
      <c r="B6495" s="76" t="s">
        <v>10945</v>
      </c>
    </row>
    <row r="6496" spans="1:2" ht="15">
      <c r="A6496" s="77" t="s">
        <v>10146</v>
      </c>
      <c r="B6496" s="76" t="s">
        <v>10945</v>
      </c>
    </row>
    <row r="6497" spans="1:2" ht="15">
      <c r="A6497" s="77" t="s">
        <v>10147</v>
      </c>
      <c r="B6497" s="76" t="s">
        <v>10945</v>
      </c>
    </row>
    <row r="6498" spans="1:2" ht="15">
      <c r="A6498" s="77" t="s">
        <v>10148</v>
      </c>
      <c r="B6498" s="76" t="s">
        <v>10945</v>
      </c>
    </row>
    <row r="6499" spans="1:2" ht="15">
      <c r="A6499" s="77" t="s">
        <v>10149</v>
      </c>
      <c r="B6499" s="76" t="s">
        <v>10945</v>
      </c>
    </row>
    <row r="6500" spans="1:2" ht="15">
      <c r="A6500" s="77" t="s">
        <v>10150</v>
      </c>
      <c r="B6500" s="76" t="s">
        <v>10945</v>
      </c>
    </row>
    <row r="6501" spans="1:2" ht="15">
      <c r="A6501" s="77" t="s">
        <v>10151</v>
      </c>
      <c r="B6501" s="76" t="s">
        <v>10945</v>
      </c>
    </row>
    <row r="6502" spans="1:2" ht="15">
      <c r="A6502" s="77" t="s">
        <v>10152</v>
      </c>
      <c r="B6502" s="76" t="s">
        <v>10945</v>
      </c>
    </row>
    <row r="6503" spans="1:2" ht="15">
      <c r="A6503" s="77" t="s">
        <v>10153</v>
      </c>
      <c r="B6503" s="76" t="s">
        <v>10945</v>
      </c>
    </row>
    <row r="6504" spans="1:2" ht="15">
      <c r="A6504" s="77" t="s">
        <v>10154</v>
      </c>
      <c r="B6504" s="76" t="s">
        <v>10945</v>
      </c>
    </row>
    <row r="6505" spans="1:2" ht="15">
      <c r="A6505" s="77" t="s">
        <v>10155</v>
      </c>
      <c r="B6505" s="76" t="s">
        <v>10945</v>
      </c>
    </row>
    <row r="6506" spans="1:2" ht="15">
      <c r="A6506" s="77" t="s">
        <v>10156</v>
      </c>
      <c r="B6506" s="76" t="s">
        <v>10945</v>
      </c>
    </row>
    <row r="6507" spans="1:2" ht="15">
      <c r="A6507" s="77" t="s">
        <v>10157</v>
      </c>
      <c r="B6507" s="76" t="s">
        <v>10945</v>
      </c>
    </row>
    <row r="6508" spans="1:2" ht="15">
      <c r="A6508" s="77" t="s">
        <v>10158</v>
      </c>
      <c r="B6508" s="76" t="s">
        <v>10945</v>
      </c>
    </row>
    <row r="6509" spans="1:2" ht="15">
      <c r="A6509" s="77" t="s">
        <v>10159</v>
      </c>
      <c r="B6509" s="76" t="s">
        <v>10945</v>
      </c>
    </row>
    <row r="6510" spans="1:2" ht="15">
      <c r="A6510" s="77" t="s">
        <v>10160</v>
      </c>
      <c r="B6510" s="76" t="s">
        <v>10945</v>
      </c>
    </row>
    <row r="6511" spans="1:2" ht="15">
      <c r="A6511" s="77" t="s">
        <v>10161</v>
      </c>
      <c r="B6511" s="76" t="s">
        <v>10945</v>
      </c>
    </row>
    <row r="6512" spans="1:2" ht="15">
      <c r="A6512" s="77" t="s">
        <v>10162</v>
      </c>
      <c r="B6512" s="76" t="s">
        <v>10945</v>
      </c>
    </row>
    <row r="6513" spans="1:2" ht="15">
      <c r="A6513" s="77" t="s">
        <v>10163</v>
      </c>
      <c r="B6513" s="76" t="s">
        <v>10945</v>
      </c>
    </row>
    <row r="6514" spans="1:2" ht="15">
      <c r="A6514" s="77" t="s">
        <v>10164</v>
      </c>
      <c r="B6514" s="76" t="s">
        <v>10945</v>
      </c>
    </row>
    <row r="6515" spans="1:2" ht="15">
      <c r="A6515" s="77" t="s">
        <v>10165</v>
      </c>
      <c r="B6515" s="76" t="s">
        <v>10945</v>
      </c>
    </row>
    <row r="6516" spans="1:2" ht="15">
      <c r="A6516" s="77" t="s">
        <v>10166</v>
      </c>
      <c r="B6516" s="76" t="s">
        <v>10945</v>
      </c>
    </row>
    <row r="6517" spans="1:2" ht="15">
      <c r="A6517" s="77" t="s">
        <v>10167</v>
      </c>
      <c r="B6517" s="76" t="s">
        <v>10945</v>
      </c>
    </row>
    <row r="6518" spans="1:2" ht="15">
      <c r="A6518" s="77" t="s">
        <v>10168</v>
      </c>
      <c r="B6518" s="76" t="s">
        <v>10945</v>
      </c>
    </row>
    <row r="6519" spans="1:2" ht="15">
      <c r="A6519" s="77" t="s">
        <v>10169</v>
      </c>
      <c r="B6519" s="76" t="s">
        <v>10945</v>
      </c>
    </row>
    <row r="6520" spans="1:2" ht="15">
      <c r="A6520" s="77" t="s">
        <v>10170</v>
      </c>
      <c r="B6520" s="76" t="s">
        <v>10945</v>
      </c>
    </row>
    <row r="6521" spans="1:2" ht="15">
      <c r="A6521" s="77" t="s">
        <v>10171</v>
      </c>
      <c r="B6521" s="76" t="s">
        <v>10945</v>
      </c>
    </row>
    <row r="6522" spans="1:2" ht="15">
      <c r="A6522" s="77" t="s">
        <v>10172</v>
      </c>
      <c r="B6522" s="76" t="s">
        <v>10945</v>
      </c>
    </row>
    <row r="6523" spans="1:2" ht="15">
      <c r="A6523" s="77" t="s">
        <v>10173</v>
      </c>
      <c r="B6523" s="76" t="s">
        <v>10945</v>
      </c>
    </row>
    <row r="6524" spans="1:2" ht="15">
      <c r="A6524" s="77" t="s">
        <v>10174</v>
      </c>
      <c r="B6524" s="76" t="s">
        <v>10945</v>
      </c>
    </row>
    <row r="6525" spans="1:2" ht="15">
      <c r="A6525" s="77" t="s">
        <v>10175</v>
      </c>
      <c r="B6525" s="76" t="s">
        <v>10945</v>
      </c>
    </row>
    <row r="6526" spans="1:2" ht="15">
      <c r="A6526" s="77" t="s">
        <v>10176</v>
      </c>
      <c r="B6526" s="76" t="s">
        <v>10945</v>
      </c>
    </row>
    <row r="6527" spans="1:2" ht="15">
      <c r="A6527" s="77" t="s">
        <v>10177</v>
      </c>
      <c r="B6527" s="76" t="s">
        <v>10945</v>
      </c>
    </row>
    <row r="6528" spans="1:2" ht="15">
      <c r="A6528" s="77" t="s">
        <v>10178</v>
      </c>
      <c r="B6528" s="76" t="s">
        <v>10945</v>
      </c>
    </row>
    <row r="6529" spans="1:2" ht="15">
      <c r="A6529" s="77" t="s">
        <v>10179</v>
      </c>
      <c r="B6529" s="76" t="s">
        <v>10945</v>
      </c>
    </row>
    <row r="6530" spans="1:2" ht="15">
      <c r="A6530" s="77" t="s">
        <v>10180</v>
      </c>
      <c r="B6530" s="76" t="s">
        <v>10945</v>
      </c>
    </row>
    <row r="6531" spans="1:2" ht="15">
      <c r="A6531" s="77" t="s">
        <v>10181</v>
      </c>
      <c r="B6531" s="76" t="s">
        <v>10945</v>
      </c>
    </row>
    <row r="6532" spans="1:2" ht="15">
      <c r="A6532" s="77" t="s">
        <v>10182</v>
      </c>
      <c r="B6532" s="76" t="s">
        <v>10945</v>
      </c>
    </row>
    <row r="6533" spans="1:2" ht="15">
      <c r="A6533" s="77" t="s">
        <v>10183</v>
      </c>
      <c r="B6533" s="76" t="s">
        <v>10945</v>
      </c>
    </row>
    <row r="6534" spans="1:2" ht="15">
      <c r="A6534" s="77" t="s">
        <v>10184</v>
      </c>
      <c r="B6534" s="76" t="s">
        <v>10945</v>
      </c>
    </row>
    <row r="6535" spans="1:2" ht="15">
      <c r="A6535" s="77" t="s">
        <v>10185</v>
      </c>
      <c r="B6535" s="76" t="s">
        <v>10945</v>
      </c>
    </row>
    <row r="6536" spans="1:2" ht="15">
      <c r="A6536" s="77" t="s">
        <v>10186</v>
      </c>
      <c r="B6536" s="76" t="s">
        <v>10945</v>
      </c>
    </row>
    <row r="6537" spans="1:2" ht="15">
      <c r="A6537" s="77" t="s">
        <v>10187</v>
      </c>
      <c r="B6537" s="76" t="s">
        <v>10945</v>
      </c>
    </row>
    <row r="6538" spans="1:2" ht="15">
      <c r="A6538" s="77" t="s">
        <v>10188</v>
      </c>
      <c r="B6538" s="76" t="s">
        <v>10945</v>
      </c>
    </row>
    <row r="6539" spans="1:2" ht="15">
      <c r="A6539" s="77" t="s">
        <v>10189</v>
      </c>
      <c r="B6539" s="76" t="s">
        <v>10945</v>
      </c>
    </row>
    <row r="6540" spans="1:2" ht="15">
      <c r="A6540" s="77" t="s">
        <v>10190</v>
      </c>
      <c r="B6540" s="76" t="s">
        <v>10945</v>
      </c>
    </row>
    <row r="6541" spans="1:2" ht="15">
      <c r="A6541" s="77" t="s">
        <v>10191</v>
      </c>
      <c r="B6541" s="76" t="s">
        <v>10945</v>
      </c>
    </row>
    <row r="6542" spans="1:2" ht="15">
      <c r="A6542" s="77" t="s">
        <v>10192</v>
      </c>
      <c r="B6542" s="76" t="s">
        <v>10945</v>
      </c>
    </row>
    <row r="6543" spans="1:2" ht="15">
      <c r="A6543" s="77" t="s">
        <v>10193</v>
      </c>
      <c r="B6543" s="76" t="s">
        <v>10945</v>
      </c>
    </row>
    <row r="6544" spans="1:2" ht="15">
      <c r="A6544" s="77" t="s">
        <v>10194</v>
      </c>
      <c r="B6544" s="76" t="s">
        <v>10945</v>
      </c>
    </row>
    <row r="6545" spans="1:2" ht="15">
      <c r="A6545" s="77" t="s">
        <v>10195</v>
      </c>
      <c r="B6545" s="76" t="s">
        <v>10945</v>
      </c>
    </row>
    <row r="6546" spans="1:2" ht="15">
      <c r="A6546" s="77" t="s">
        <v>10196</v>
      </c>
      <c r="B6546" s="76" t="s">
        <v>10945</v>
      </c>
    </row>
    <row r="6547" spans="1:2" ht="15">
      <c r="A6547" s="77" t="s">
        <v>10197</v>
      </c>
      <c r="B6547" s="76" t="s">
        <v>10945</v>
      </c>
    </row>
    <row r="6548" spans="1:2" ht="15">
      <c r="A6548" s="77" t="s">
        <v>10198</v>
      </c>
      <c r="B6548" s="76" t="s">
        <v>10945</v>
      </c>
    </row>
    <row r="6549" spans="1:2" ht="15">
      <c r="A6549" s="77" t="s">
        <v>10199</v>
      </c>
      <c r="B6549" s="76" t="s">
        <v>10945</v>
      </c>
    </row>
    <row r="6550" spans="1:2" ht="15">
      <c r="A6550" s="77" t="s">
        <v>3483</v>
      </c>
      <c r="B6550" s="76" t="s">
        <v>10945</v>
      </c>
    </row>
    <row r="6551" spans="1:2" ht="15">
      <c r="A6551" s="77" t="s">
        <v>10200</v>
      </c>
      <c r="B6551" s="76" t="s">
        <v>10945</v>
      </c>
    </row>
    <row r="6552" spans="1:2" ht="15">
      <c r="A6552" s="77" t="s">
        <v>10201</v>
      </c>
      <c r="B6552" s="76" t="s">
        <v>10945</v>
      </c>
    </row>
    <row r="6553" spans="1:2" ht="15">
      <c r="A6553" s="77" t="s">
        <v>10202</v>
      </c>
      <c r="B6553" s="76" t="s">
        <v>10945</v>
      </c>
    </row>
    <row r="6554" spans="1:2" ht="15">
      <c r="A6554" s="77" t="s">
        <v>10203</v>
      </c>
      <c r="B6554" s="76" t="s">
        <v>10945</v>
      </c>
    </row>
    <row r="6555" spans="1:2" ht="15">
      <c r="A6555" s="77" t="s">
        <v>10204</v>
      </c>
      <c r="B6555" s="76" t="s">
        <v>10945</v>
      </c>
    </row>
    <row r="6556" spans="1:2" ht="15">
      <c r="A6556" s="77" t="s">
        <v>10205</v>
      </c>
      <c r="B6556" s="76" t="s">
        <v>10945</v>
      </c>
    </row>
    <row r="6557" spans="1:2" ht="15">
      <c r="A6557" s="77" t="s">
        <v>10206</v>
      </c>
      <c r="B6557" s="76" t="s">
        <v>10945</v>
      </c>
    </row>
    <row r="6558" spans="1:2" ht="15">
      <c r="A6558" s="77" t="s">
        <v>10207</v>
      </c>
      <c r="B6558" s="76" t="s">
        <v>10945</v>
      </c>
    </row>
    <row r="6559" spans="1:2" ht="15">
      <c r="A6559" s="77" t="s">
        <v>10208</v>
      </c>
      <c r="B6559" s="76" t="s">
        <v>10945</v>
      </c>
    </row>
    <row r="6560" spans="1:2" ht="15">
      <c r="A6560" s="77" t="s">
        <v>10209</v>
      </c>
      <c r="B6560" s="76" t="s">
        <v>10945</v>
      </c>
    </row>
    <row r="6561" spans="1:2" ht="15">
      <c r="A6561" s="77" t="s">
        <v>10210</v>
      </c>
      <c r="B6561" s="76" t="s">
        <v>10945</v>
      </c>
    </row>
    <row r="6562" spans="1:2" ht="15">
      <c r="A6562" s="77" t="s">
        <v>10211</v>
      </c>
      <c r="B6562" s="76" t="s">
        <v>10945</v>
      </c>
    </row>
    <row r="6563" spans="1:2" ht="15">
      <c r="A6563" s="77" t="s">
        <v>10212</v>
      </c>
      <c r="B6563" s="76" t="s">
        <v>10945</v>
      </c>
    </row>
    <row r="6564" spans="1:2" ht="15">
      <c r="A6564" s="77" t="s">
        <v>10213</v>
      </c>
      <c r="B6564" s="76" t="s">
        <v>10945</v>
      </c>
    </row>
    <row r="6565" spans="1:2" ht="15">
      <c r="A6565" s="77" t="s">
        <v>10214</v>
      </c>
      <c r="B6565" s="76" t="s">
        <v>10945</v>
      </c>
    </row>
    <row r="6566" spans="1:2" ht="15">
      <c r="A6566" s="77" t="s">
        <v>10215</v>
      </c>
      <c r="B6566" s="76" t="s">
        <v>10945</v>
      </c>
    </row>
    <row r="6567" spans="1:2" ht="15">
      <c r="A6567" s="77" t="s">
        <v>10216</v>
      </c>
      <c r="B6567" s="76" t="s">
        <v>10945</v>
      </c>
    </row>
    <row r="6568" spans="1:2" ht="15">
      <c r="A6568" s="77" t="s">
        <v>10217</v>
      </c>
      <c r="B6568" s="76" t="s">
        <v>10945</v>
      </c>
    </row>
    <row r="6569" spans="1:2" ht="15">
      <c r="A6569" s="77" t="s">
        <v>10218</v>
      </c>
      <c r="B6569" s="76" t="s">
        <v>10945</v>
      </c>
    </row>
    <row r="6570" spans="1:2" ht="15">
      <c r="A6570" s="77" t="s">
        <v>10219</v>
      </c>
      <c r="B6570" s="76" t="s">
        <v>10945</v>
      </c>
    </row>
    <row r="6571" spans="1:2" ht="15">
      <c r="A6571" s="77" t="s">
        <v>10220</v>
      </c>
      <c r="B6571" s="76" t="s">
        <v>10945</v>
      </c>
    </row>
    <row r="6572" spans="1:2" ht="15">
      <c r="A6572" s="77" t="s">
        <v>10221</v>
      </c>
      <c r="B6572" s="76" t="s">
        <v>10945</v>
      </c>
    </row>
    <row r="6573" spans="1:2" ht="15">
      <c r="A6573" s="77" t="s">
        <v>10222</v>
      </c>
      <c r="B6573" s="76" t="s">
        <v>10945</v>
      </c>
    </row>
    <row r="6574" spans="1:2" ht="15">
      <c r="A6574" s="77" t="s">
        <v>10223</v>
      </c>
      <c r="B6574" s="76" t="s">
        <v>10945</v>
      </c>
    </row>
    <row r="6575" spans="1:2" ht="15">
      <c r="A6575" s="77" t="s">
        <v>10224</v>
      </c>
      <c r="B6575" s="76" t="s">
        <v>10945</v>
      </c>
    </row>
    <row r="6576" spans="1:2" ht="15">
      <c r="A6576" s="77" t="s">
        <v>10225</v>
      </c>
      <c r="B6576" s="76" t="s">
        <v>10945</v>
      </c>
    </row>
    <row r="6577" spans="1:2" ht="15">
      <c r="A6577" s="77" t="s">
        <v>10226</v>
      </c>
      <c r="B6577" s="76" t="s">
        <v>10945</v>
      </c>
    </row>
    <row r="6578" spans="1:2" ht="15">
      <c r="A6578" s="77" t="s">
        <v>10227</v>
      </c>
      <c r="B6578" s="76" t="s">
        <v>10945</v>
      </c>
    </row>
    <row r="6579" spans="1:2" ht="15">
      <c r="A6579" s="77" t="s">
        <v>10228</v>
      </c>
      <c r="B6579" s="76" t="s">
        <v>10945</v>
      </c>
    </row>
    <row r="6580" spans="1:2" ht="15">
      <c r="A6580" s="77" t="s">
        <v>10229</v>
      </c>
      <c r="B6580" s="76" t="s">
        <v>10945</v>
      </c>
    </row>
    <row r="6581" spans="1:2" ht="15">
      <c r="A6581" s="77" t="s">
        <v>10230</v>
      </c>
      <c r="B6581" s="76" t="s">
        <v>10945</v>
      </c>
    </row>
    <row r="6582" spans="1:2" ht="15">
      <c r="A6582" s="77" t="s">
        <v>10231</v>
      </c>
      <c r="B6582" s="76" t="s">
        <v>10945</v>
      </c>
    </row>
    <row r="6583" spans="1:2" ht="15">
      <c r="A6583" s="77" t="s">
        <v>10232</v>
      </c>
      <c r="B6583" s="76" t="s">
        <v>10945</v>
      </c>
    </row>
    <row r="6584" spans="1:2" ht="15">
      <c r="A6584" s="77" t="s">
        <v>10233</v>
      </c>
      <c r="B6584" s="76" t="s">
        <v>10945</v>
      </c>
    </row>
    <row r="6585" spans="1:2" ht="15">
      <c r="A6585" s="77" t="s">
        <v>10234</v>
      </c>
      <c r="B6585" s="76" t="s">
        <v>10945</v>
      </c>
    </row>
    <row r="6586" spans="1:2" ht="15">
      <c r="A6586" s="77" t="s">
        <v>10235</v>
      </c>
      <c r="B6586" s="76" t="s">
        <v>10945</v>
      </c>
    </row>
    <row r="6587" spans="1:2" ht="15">
      <c r="A6587" s="77" t="s">
        <v>3827</v>
      </c>
      <c r="B6587" s="76" t="s">
        <v>10945</v>
      </c>
    </row>
    <row r="6588" spans="1:2" ht="15">
      <c r="A6588" s="77" t="s">
        <v>10236</v>
      </c>
      <c r="B6588" s="76" t="s">
        <v>10945</v>
      </c>
    </row>
    <row r="6589" spans="1:2" ht="15">
      <c r="A6589" s="77" t="s">
        <v>10237</v>
      </c>
      <c r="B6589" s="76" t="s">
        <v>10945</v>
      </c>
    </row>
    <row r="6590" spans="1:2" ht="15">
      <c r="A6590" s="77" t="s">
        <v>10238</v>
      </c>
      <c r="B6590" s="76" t="s">
        <v>10945</v>
      </c>
    </row>
    <row r="6591" spans="1:2" ht="15">
      <c r="A6591" s="77" t="s">
        <v>10239</v>
      </c>
      <c r="B6591" s="76" t="s">
        <v>10945</v>
      </c>
    </row>
    <row r="6592" spans="1:2" ht="15">
      <c r="A6592" s="77" t="s">
        <v>10240</v>
      </c>
      <c r="B6592" s="76" t="s">
        <v>10945</v>
      </c>
    </row>
    <row r="6593" spans="1:2" ht="15">
      <c r="A6593" s="77" t="s">
        <v>10241</v>
      </c>
      <c r="B6593" s="76" t="s">
        <v>10945</v>
      </c>
    </row>
    <row r="6594" spans="1:2" ht="15">
      <c r="A6594" s="77" t="s">
        <v>10242</v>
      </c>
      <c r="B6594" s="76" t="s">
        <v>10945</v>
      </c>
    </row>
    <row r="6595" spans="1:2" ht="15">
      <c r="A6595" s="77" t="s">
        <v>10243</v>
      </c>
      <c r="B6595" s="76" t="s">
        <v>10945</v>
      </c>
    </row>
    <row r="6596" spans="1:2" ht="15">
      <c r="A6596" s="77" t="s">
        <v>10244</v>
      </c>
      <c r="B6596" s="76" t="s">
        <v>10945</v>
      </c>
    </row>
    <row r="6597" spans="1:2" ht="15">
      <c r="A6597" s="77" t="s">
        <v>2723</v>
      </c>
      <c r="B6597" s="76" t="s">
        <v>10945</v>
      </c>
    </row>
    <row r="6598" spans="1:2" ht="15">
      <c r="A6598" s="77" t="s">
        <v>10245</v>
      </c>
      <c r="B6598" s="76" t="s">
        <v>10945</v>
      </c>
    </row>
    <row r="6599" spans="1:2" ht="15">
      <c r="A6599" s="77" t="s">
        <v>10246</v>
      </c>
      <c r="B6599" s="76" t="s">
        <v>10945</v>
      </c>
    </row>
    <row r="6600" spans="1:2" ht="15">
      <c r="A6600" s="77" t="s">
        <v>10247</v>
      </c>
      <c r="B6600" s="76" t="s">
        <v>10945</v>
      </c>
    </row>
    <row r="6601" spans="1:2" ht="15">
      <c r="A6601" s="77" t="s">
        <v>10248</v>
      </c>
      <c r="B6601" s="76" t="s">
        <v>10945</v>
      </c>
    </row>
    <row r="6602" spans="1:2" ht="15">
      <c r="A6602" s="77" t="s">
        <v>10249</v>
      </c>
      <c r="B6602" s="76" t="s">
        <v>10945</v>
      </c>
    </row>
    <row r="6603" spans="1:2" ht="15">
      <c r="A6603" s="77" t="s">
        <v>10250</v>
      </c>
      <c r="B6603" s="76" t="s">
        <v>10945</v>
      </c>
    </row>
    <row r="6604" spans="1:2" ht="15">
      <c r="A6604" s="77" t="s">
        <v>10251</v>
      </c>
      <c r="B6604" s="76" t="s">
        <v>10945</v>
      </c>
    </row>
    <row r="6605" spans="1:2" ht="15">
      <c r="A6605" s="77" t="s">
        <v>10252</v>
      </c>
      <c r="B6605" s="76" t="s">
        <v>10945</v>
      </c>
    </row>
    <row r="6606" spans="1:2" ht="15">
      <c r="A6606" s="77" t="s">
        <v>10253</v>
      </c>
      <c r="B6606" s="76" t="s">
        <v>10945</v>
      </c>
    </row>
    <row r="6607" spans="1:2" ht="15">
      <c r="A6607" s="77" t="s">
        <v>2637</v>
      </c>
      <c r="B6607" s="76" t="s">
        <v>10945</v>
      </c>
    </row>
    <row r="6608" spans="1:2" ht="15">
      <c r="A6608" s="77" t="s">
        <v>10254</v>
      </c>
      <c r="B6608" s="76" t="s">
        <v>10945</v>
      </c>
    </row>
    <row r="6609" spans="1:2" ht="15">
      <c r="A6609" s="77" t="s">
        <v>10255</v>
      </c>
      <c r="B6609" s="76" t="s">
        <v>10945</v>
      </c>
    </row>
    <row r="6610" spans="1:2" ht="15">
      <c r="A6610" s="77" t="s">
        <v>3380</v>
      </c>
      <c r="B6610" s="76" t="s">
        <v>10945</v>
      </c>
    </row>
    <row r="6611" spans="1:2" ht="15">
      <c r="A6611" s="77" t="s">
        <v>2698</v>
      </c>
      <c r="B6611" s="76" t="s">
        <v>10945</v>
      </c>
    </row>
    <row r="6612" spans="1:2" ht="15">
      <c r="A6612" s="77" t="s">
        <v>10256</v>
      </c>
      <c r="B6612" s="76" t="s">
        <v>10945</v>
      </c>
    </row>
    <row r="6613" spans="1:2" ht="15">
      <c r="A6613" s="77" t="s">
        <v>10257</v>
      </c>
      <c r="B6613" s="76" t="s">
        <v>10945</v>
      </c>
    </row>
    <row r="6614" spans="1:2" ht="15">
      <c r="A6614" s="77" t="s">
        <v>10258</v>
      </c>
      <c r="B6614" s="76" t="s">
        <v>10945</v>
      </c>
    </row>
    <row r="6615" spans="1:2" ht="15">
      <c r="A6615" s="77" t="s">
        <v>10259</v>
      </c>
      <c r="B6615" s="76" t="s">
        <v>10945</v>
      </c>
    </row>
    <row r="6616" spans="1:2" ht="15">
      <c r="A6616" s="77" t="s">
        <v>10260</v>
      </c>
      <c r="B6616" s="76" t="s">
        <v>10945</v>
      </c>
    </row>
    <row r="6617" spans="1:2" ht="15">
      <c r="A6617" s="77" t="s">
        <v>10261</v>
      </c>
      <c r="B6617" s="76" t="s">
        <v>10945</v>
      </c>
    </row>
    <row r="6618" spans="1:2" ht="15">
      <c r="A6618" s="77" t="s">
        <v>10262</v>
      </c>
      <c r="B6618" s="76" t="s">
        <v>10945</v>
      </c>
    </row>
    <row r="6619" spans="1:2" ht="15">
      <c r="A6619" s="77" t="s">
        <v>10263</v>
      </c>
      <c r="B6619" s="76" t="s">
        <v>10945</v>
      </c>
    </row>
    <row r="6620" spans="1:2" ht="15">
      <c r="A6620" s="77" t="s">
        <v>10264</v>
      </c>
      <c r="B6620" s="76" t="s">
        <v>10945</v>
      </c>
    </row>
    <row r="6621" spans="1:2" ht="15">
      <c r="A6621" s="77" t="s">
        <v>10265</v>
      </c>
      <c r="B6621" s="76" t="s">
        <v>10945</v>
      </c>
    </row>
    <row r="6622" spans="1:2" ht="15">
      <c r="A6622" s="77" t="s">
        <v>10266</v>
      </c>
      <c r="B6622" s="76" t="s">
        <v>10945</v>
      </c>
    </row>
    <row r="6623" spans="1:2" ht="15">
      <c r="A6623" s="77" t="s">
        <v>10267</v>
      </c>
      <c r="B6623" s="76" t="s">
        <v>10945</v>
      </c>
    </row>
    <row r="6624" spans="1:2" ht="15">
      <c r="A6624" s="77" t="s">
        <v>10268</v>
      </c>
      <c r="B6624" s="76" t="s">
        <v>10945</v>
      </c>
    </row>
    <row r="6625" spans="1:2" ht="15">
      <c r="A6625" s="77" t="s">
        <v>10269</v>
      </c>
      <c r="B6625" s="76" t="s">
        <v>10945</v>
      </c>
    </row>
    <row r="6626" spans="1:2" ht="15">
      <c r="A6626" s="77" t="s">
        <v>10270</v>
      </c>
      <c r="B6626" s="76" t="s">
        <v>10945</v>
      </c>
    </row>
    <row r="6627" spans="1:2" ht="15">
      <c r="A6627" s="77" t="s">
        <v>10271</v>
      </c>
      <c r="B6627" s="76" t="s">
        <v>10945</v>
      </c>
    </row>
    <row r="6628" spans="1:2" ht="15">
      <c r="A6628" s="77" t="s">
        <v>10272</v>
      </c>
      <c r="B6628" s="76" t="s">
        <v>10945</v>
      </c>
    </row>
    <row r="6629" spans="1:2" ht="15">
      <c r="A6629" s="77" t="s">
        <v>10273</v>
      </c>
      <c r="B6629" s="76" t="s">
        <v>10945</v>
      </c>
    </row>
    <row r="6630" spans="1:2" ht="15">
      <c r="A6630" s="77" t="s">
        <v>10274</v>
      </c>
      <c r="B6630" s="76" t="s">
        <v>10945</v>
      </c>
    </row>
    <row r="6631" spans="1:2" ht="15">
      <c r="A6631" s="77" t="s">
        <v>10275</v>
      </c>
      <c r="B6631" s="76" t="s">
        <v>10945</v>
      </c>
    </row>
    <row r="6632" spans="1:2" ht="15">
      <c r="A6632" s="77" t="s">
        <v>10276</v>
      </c>
      <c r="B6632" s="76" t="s">
        <v>10945</v>
      </c>
    </row>
    <row r="6633" spans="1:2" ht="15">
      <c r="A6633" s="77" t="s">
        <v>10277</v>
      </c>
      <c r="B6633" s="76" t="s">
        <v>10945</v>
      </c>
    </row>
    <row r="6634" spans="1:2" ht="15">
      <c r="A6634" s="77" t="s">
        <v>10278</v>
      </c>
      <c r="B6634" s="76" t="s">
        <v>10945</v>
      </c>
    </row>
    <row r="6635" spans="1:2" ht="15">
      <c r="A6635" s="77" t="s">
        <v>10279</v>
      </c>
      <c r="B6635" s="76" t="s">
        <v>10945</v>
      </c>
    </row>
    <row r="6636" spans="1:2" ht="15">
      <c r="A6636" s="77" t="s">
        <v>10280</v>
      </c>
      <c r="B6636" s="76" t="s">
        <v>10945</v>
      </c>
    </row>
    <row r="6637" spans="1:2" ht="15">
      <c r="A6637" s="77" t="s">
        <v>10281</v>
      </c>
      <c r="B6637" s="76" t="s">
        <v>10945</v>
      </c>
    </row>
    <row r="6638" spans="1:2" ht="15">
      <c r="A6638" s="77" t="s">
        <v>10282</v>
      </c>
      <c r="B6638" s="76" t="s">
        <v>10945</v>
      </c>
    </row>
    <row r="6639" spans="1:2" ht="15">
      <c r="A6639" s="77" t="s">
        <v>10283</v>
      </c>
      <c r="B6639" s="76" t="s">
        <v>10945</v>
      </c>
    </row>
    <row r="6640" spans="1:2" ht="15">
      <c r="A6640" s="77" t="s">
        <v>10284</v>
      </c>
      <c r="B6640" s="76" t="s">
        <v>10945</v>
      </c>
    </row>
    <row r="6641" spans="1:2" ht="15">
      <c r="A6641" s="77" t="s">
        <v>10285</v>
      </c>
      <c r="B6641" s="76" t="s">
        <v>10945</v>
      </c>
    </row>
    <row r="6642" spans="1:2" ht="15">
      <c r="A6642" s="77" t="s">
        <v>10286</v>
      </c>
      <c r="B6642" s="76" t="s">
        <v>10945</v>
      </c>
    </row>
    <row r="6643" spans="1:2" ht="15">
      <c r="A6643" s="77" t="s">
        <v>10287</v>
      </c>
      <c r="B6643" s="76" t="s">
        <v>10945</v>
      </c>
    </row>
    <row r="6644" spans="1:2" ht="15">
      <c r="A6644" s="77" t="s">
        <v>10288</v>
      </c>
      <c r="B6644" s="76" t="s">
        <v>10945</v>
      </c>
    </row>
    <row r="6645" spans="1:2" ht="15">
      <c r="A6645" s="77" t="s">
        <v>10289</v>
      </c>
      <c r="B6645" s="76" t="s">
        <v>10945</v>
      </c>
    </row>
    <row r="6646" spans="1:2" ht="15">
      <c r="A6646" s="77" t="s">
        <v>10290</v>
      </c>
      <c r="B6646" s="76" t="s">
        <v>10945</v>
      </c>
    </row>
    <row r="6647" spans="1:2" ht="15">
      <c r="A6647" s="77" t="s">
        <v>10291</v>
      </c>
      <c r="B6647" s="76" t="s">
        <v>10945</v>
      </c>
    </row>
    <row r="6648" spans="1:2" ht="15">
      <c r="A6648" s="77" t="s">
        <v>10292</v>
      </c>
      <c r="B6648" s="76" t="s">
        <v>10945</v>
      </c>
    </row>
    <row r="6649" spans="1:2" ht="15">
      <c r="A6649" s="77" t="s">
        <v>10293</v>
      </c>
      <c r="B6649" s="76" t="s">
        <v>10945</v>
      </c>
    </row>
    <row r="6650" spans="1:2" ht="15">
      <c r="A6650" s="77" t="s">
        <v>10294</v>
      </c>
      <c r="B6650" s="76" t="s">
        <v>10945</v>
      </c>
    </row>
    <row r="6651" spans="1:2" ht="15">
      <c r="A6651" s="77" t="s">
        <v>10295</v>
      </c>
      <c r="B6651" s="76" t="s">
        <v>10945</v>
      </c>
    </row>
    <row r="6652" spans="1:2" ht="15">
      <c r="A6652" s="77" t="s">
        <v>10296</v>
      </c>
      <c r="B6652" s="76" t="s">
        <v>10945</v>
      </c>
    </row>
    <row r="6653" spans="1:2" ht="15">
      <c r="A6653" s="77" t="s">
        <v>10297</v>
      </c>
      <c r="B6653" s="76" t="s">
        <v>10945</v>
      </c>
    </row>
    <row r="6654" spans="1:2" ht="15">
      <c r="A6654" s="77" t="s">
        <v>10298</v>
      </c>
      <c r="B6654" s="76" t="s">
        <v>10945</v>
      </c>
    </row>
    <row r="6655" spans="1:2" ht="15">
      <c r="A6655" s="77" t="s">
        <v>10299</v>
      </c>
      <c r="B6655" s="76" t="s">
        <v>10945</v>
      </c>
    </row>
    <row r="6656" spans="1:2" ht="15">
      <c r="A6656" s="77" t="s">
        <v>10300</v>
      </c>
      <c r="B6656" s="76" t="s">
        <v>10945</v>
      </c>
    </row>
    <row r="6657" spans="1:2" ht="15">
      <c r="A6657" s="77" t="s">
        <v>10301</v>
      </c>
      <c r="B6657" s="76" t="s">
        <v>10945</v>
      </c>
    </row>
    <row r="6658" spans="1:2" ht="15">
      <c r="A6658" s="77" t="s">
        <v>10302</v>
      </c>
      <c r="B6658" s="76" t="s">
        <v>10945</v>
      </c>
    </row>
    <row r="6659" spans="1:2" ht="15">
      <c r="A6659" s="77" t="s">
        <v>10303</v>
      </c>
      <c r="B6659" s="76" t="s">
        <v>10945</v>
      </c>
    </row>
    <row r="6660" spans="1:2" ht="15">
      <c r="A6660" s="77" t="s">
        <v>10304</v>
      </c>
      <c r="B6660" s="76" t="s">
        <v>10945</v>
      </c>
    </row>
    <row r="6661" spans="1:2" ht="15">
      <c r="A6661" s="77" t="s">
        <v>10305</v>
      </c>
      <c r="B6661" s="76" t="s">
        <v>10945</v>
      </c>
    </row>
    <row r="6662" spans="1:2" ht="15">
      <c r="A6662" s="77" t="s">
        <v>10306</v>
      </c>
      <c r="B6662" s="76" t="s">
        <v>10945</v>
      </c>
    </row>
    <row r="6663" spans="1:2" ht="15">
      <c r="A6663" s="77" t="s">
        <v>10307</v>
      </c>
      <c r="B6663" s="76" t="s">
        <v>10945</v>
      </c>
    </row>
    <row r="6664" spans="1:2" ht="15">
      <c r="A6664" s="77" t="s">
        <v>10308</v>
      </c>
      <c r="B6664" s="76" t="s">
        <v>10945</v>
      </c>
    </row>
    <row r="6665" spans="1:2" ht="15">
      <c r="A6665" s="77" t="s">
        <v>10309</v>
      </c>
      <c r="B6665" s="76" t="s">
        <v>10945</v>
      </c>
    </row>
    <row r="6666" spans="1:2" ht="15">
      <c r="A6666" s="77" t="s">
        <v>10310</v>
      </c>
      <c r="B6666" s="76" t="s">
        <v>10945</v>
      </c>
    </row>
    <row r="6667" spans="1:2" ht="15">
      <c r="A6667" s="77" t="s">
        <v>10311</v>
      </c>
      <c r="B6667" s="76" t="s">
        <v>10945</v>
      </c>
    </row>
    <row r="6668" spans="1:2" ht="15">
      <c r="A6668" s="77" t="s">
        <v>10312</v>
      </c>
      <c r="B6668" s="76" t="s">
        <v>10945</v>
      </c>
    </row>
    <row r="6669" spans="1:2" ht="15">
      <c r="A6669" s="77" t="s">
        <v>10313</v>
      </c>
      <c r="B6669" s="76" t="s">
        <v>10945</v>
      </c>
    </row>
    <row r="6670" spans="1:2" ht="15">
      <c r="A6670" s="77" t="s">
        <v>10314</v>
      </c>
      <c r="B6670" s="76" t="s">
        <v>10945</v>
      </c>
    </row>
    <row r="6671" spans="1:2" ht="15">
      <c r="A6671" s="77" t="s">
        <v>10315</v>
      </c>
      <c r="B6671" s="76" t="s">
        <v>10945</v>
      </c>
    </row>
    <row r="6672" spans="1:2" ht="15">
      <c r="A6672" s="77" t="s">
        <v>10316</v>
      </c>
      <c r="B6672" s="76" t="s">
        <v>10945</v>
      </c>
    </row>
    <row r="6673" spans="1:2" ht="15">
      <c r="A6673" s="77" t="s">
        <v>10317</v>
      </c>
      <c r="B6673" s="76" t="s">
        <v>10945</v>
      </c>
    </row>
    <row r="6674" spans="1:2" ht="15">
      <c r="A6674" s="77" t="s">
        <v>10318</v>
      </c>
      <c r="B6674" s="76" t="s">
        <v>10945</v>
      </c>
    </row>
    <row r="6675" spans="1:2" ht="15">
      <c r="A6675" s="77" t="s">
        <v>10319</v>
      </c>
      <c r="B6675" s="76" t="s">
        <v>10945</v>
      </c>
    </row>
    <row r="6676" spans="1:2" ht="15">
      <c r="A6676" s="77" t="s">
        <v>10320</v>
      </c>
      <c r="B6676" s="76" t="s">
        <v>10945</v>
      </c>
    </row>
    <row r="6677" spans="1:2" ht="15">
      <c r="A6677" s="77" t="s">
        <v>10321</v>
      </c>
      <c r="B6677" s="76" t="s">
        <v>10945</v>
      </c>
    </row>
    <row r="6678" spans="1:2" ht="15">
      <c r="A6678" s="77" t="s">
        <v>10322</v>
      </c>
      <c r="B6678" s="76" t="s">
        <v>10945</v>
      </c>
    </row>
    <row r="6679" spans="1:2" ht="15">
      <c r="A6679" s="77" t="s">
        <v>10323</v>
      </c>
      <c r="B6679" s="76" t="s">
        <v>10945</v>
      </c>
    </row>
    <row r="6680" spans="1:2" ht="15">
      <c r="A6680" s="77" t="s">
        <v>10324</v>
      </c>
      <c r="B6680" s="76" t="s">
        <v>10945</v>
      </c>
    </row>
    <row r="6681" spans="1:2" ht="15">
      <c r="A6681" s="77" t="s">
        <v>10325</v>
      </c>
      <c r="B6681" s="76" t="s">
        <v>10945</v>
      </c>
    </row>
    <row r="6682" spans="1:2" ht="15">
      <c r="A6682" s="77" t="s">
        <v>10326</v>
      </c>
      <c r="B6682" s="76" t="s">
        <v>10945</v>
      </c>
    </row>
    <row r="6683" spans="1:2" ht="15">
      <c r="A6683" s="77" t="s">
        <v>10327</v>
      </c>
      <c r="B6683" s="76" t="s">
        <v>10945</v>
      </c>
    </row>
    <row r="6684" spans="1:2" ht="15">
      <c r="A6684" s="77" t="s">
        <v>10328</v>
      </c>
      <c r="B6684" s="76" t="s">
        <v>10945</v>
      </c>
    </row>
    <row r="6685" spans="1:2" ht="15">
      <c r="A6685" s="77" t="s">
        <v>10329</v>
      </c>
      <c r="B6685" s="76" t="s">
        <v>10945</v>
      </c>
    </row>
    <row r="6686" spans="1:2" ht="15">
      <c r="A6686" s="77" t="s">
        <v>10330</v>
      </c>
      <c r="B6686" s="76" t="s">
        <v>10945</v>
      </c>
    </row>
    <row r="6687" spans="1:2" ht="15">
      <c r="A6687" s="77" t="s">
        <v>10331</v>
      </c>
      <c r="B6687" s="76" t="s">
        <v>10945</v>
      </c>
    </row>
    <row r="6688" spans="1:2" ht="15">
      <c r="A6688" s="77" t="s">
        <v>10332</v>
      </c>
      <c r="B6688" s="76" t="s">
        <v>10945</v>
      </c>
    </row>
    <row r="6689" spans="1:2" ht="15">
      <c r="A6689" s="77" t="s">
        <v>10333</v>
      </c>
      <c r="B6689" s="76" t="s">
        <v>10945</v>
      </c>
    </row>
    <row r="6690" spans="1:2" ht="15">
      <c r="A6690" s="77" t="s">
        <v>10334</v>
      </c>
      <c r="B6690" s="76" t="s">
        <v>10945</v>
      </c>
    </row>
    <row r="6691" spans="1:2" ht="15">
      <c r="A6691" s="77" t="s">
        <v>10335</v>
      </c>
      <c r="B6691" s="76" t="s">
        <v>10945</v>
      </c>
    </row>
    <row r="6692" spans="1:2" ht="15">
      <c r="A6692" s="77" t="s">
        <v>10336</v>
      </c>
      <c r="B6692" s="76" t="s">
        <v>10945</v>
      </c>
    </row>
    <row r="6693" spans="1:2" ht="15">
      <c r="A6693" s="77" t="s">
        <v>10337</v>
      </c>
      <c r="B6693" s="76" t="s">
        <v>10945</v>
      </c>
    </row>
    <row r="6694" spans="1:2" ht="15">
      <c r="A6694" s="77" t="s">
        <v>10338</v>
      </c>
      <c r="B6694" s="76" t="s">
        <v>10945</v>
      </c>
    </row>
    <row r="6695" spans="1:2" ht="15">
      <c r="A6695" s="77" t="s">
        <v>10339</v>
      </c>
      <c r="B6695" s="76" t="s">
        <v>10945</v>
      </c>
    </row>
    <row r="6696" spans="1:2" ht="15">
      <c r="A6696" s="77" t="s">
        <v>10340</v>
      </c>
      <c r="B6696" s="76" t="s">
        <v>10945</v>
      </c>
    </row>
    <row r="6697" spans="1:2" ht="15">
      <c r="A6697" s="77" t="s">
        <v>10341</v>
      </c>
      <c r="B6697" s="76" t="s">
        <v>10945</v>
      </c>
    </row>
    <row r="6698" spans="1:2" ht="15">
      <c r="A6698" s="77" t="s">
        <v>10342</v>
      </c>
      <c r="B6698" s="76" t="s">
        <v>10945</v>
      </c>
    </row>
    <row r="6699" spans="1:2" ht="15">
      <c r="A6699" s="77" t="s">
        <v>3449</v>
      </c>
      <c r="B6699" s="76" t="s">
        <v>10945</v>
      </c>
    </row>
    <row r="6700" spans="1:2" ht="15">
      <c r="A6700" s="77" t="s">
        <v>10343</v>
      </c>
      <c r="B6700" s="76" t="s">
        <v>10945</v>
      </c>
    </row>
    <row r="6701" spans="1:2" ht="15">
      <c r="A6701" s="77" t="s">
        <v>10344</v>
      </c>
      <c r="B6701" s="76" t="s">
        <v>10945</v>
      </c>
    </row>
    <row r="6702" spans="1:2" ht="15">
      <c r="A6702" s="77" t="s">
        <v>10345</v>
      </c>
      <c r="B6702" s="76" t="s">
        <v>10945</v>
      </c>
    </row>
    <row r="6703" spans="1:2" ht="15">
      <c r="A6703" s="77" t="s">
        <v>10346</v>
      </c>
      <c r="B6703" s="76" t="s">
        <v>10945</v>
      </c>
    </row>
    <row r="6704" spans="1:2" ht="15">
      <c r="A6704" s="77" t="s">
        <v>10347</v>
      </c>
      <c r="B6704" s="76" t="s">
        <v>10945</v>
      </c>
    </row>
    <row r="6705" spans="1:2" ht="15">
      <c r="A6705" s="77" t="s">
        <v>10348</v>
      </c>
      <c r="B6705" s="76" t="s">
        <v>10945</v>
      </c>
    </row>
    <row r="6706" spans="1:2" ht="15">
      <c r="A6706" s="77" t="s">
        <v>10349</v>
      </c>
      <c r="B6706" s="76" t="s">
        <v>10945</v>
      </c>
    </row>
    <row r="6707" spans="1:2" ht="15">
      <c r="A6707" s="77" t="s">
        <v>10350</v>
      </c>
      <c r="B6707" s="76" t="s">
        <v>10945</v>
      </c>
    </row>
    <row r="6708" spans="1:2" ht="15">
      <c r="A6708" s="77" t="s">
        <v>10351</v>
      </c>
      <c r="B6708" s="76" t="s">
        <v>10945</v>
      </c>
    </row>
    <row r="6709" spans="1:2" ht="15">
      <c r="A6709" s="77" t="s">
        <v>10352</v>
      </c>
      <c r="B6709" s="76" t="s">
        <v>10945</v>
      </c>
    </row>
    <row r="6710" spans="1:2" ht="15">
      <c r="A6710" s="77" t="s">
        <v>10353</v>
      </c>
      <c r="B6710" s="76" t="s">
        <v>10945</v>
      </c>
    </row>
    <row r="6711" spans="1:2" ht="15">
      <c r="A6711" s="77" t="s">
        <v>10354</v>
      </c>
      <c r="B6711" s="76" t="s">
        <v>10945</v>
      </c>
    </row>
    <row r="6712" spans="1:2" ht="15">
      <c r="A6712" s="77" t="s">
        <v>10355</v>
      </c>
      <c r="B6712" s="76" t="s">
        <v>10945</v>
      </c>
    </row>
    <row r="6713" spans="1:2" ht="15">
      <c r="A6713" s="77" t="s">
        <v>2995</v>
      </c>
      <c r="B6713" s="76" t="s">
        <v>10945</v>
      </c>
    </row>
    <row r="6714" spans="1:2" ht="15">
      <c r="A6714" s="77" t="s">
        <v>10356</v>
      </c>
      <c r="B6714" s="76" t="s">
        <v>10945</v>
      </c>
    </row>
    <row r="6715" spans="1:2" ht="15">
      <c r="A6715" s="77" t="s">
        <v>10357</v>
      </c>
      <c r="B6715" s="76" t="s">
        <v>10945</v>
      </c>
    </row>
    <row r="6716" spans="1:2" ht="15">
      <c r="A6716" s="77" t="s">
        <v>10358</v>
      </c>
      <c r="B6716" s="76" t="s">
        <v>10945</v>
      </c>
    </row>
    <row r="6717" spans="1:2" ht="15">
      <c r="A6717" s="77" t="s">
        <v>10359</v>
      </c>
      <c r="B6717" s="76" t="s">
        <v>10945</v>
      </c>
    </row>
    <row r="6718" spans="1:2" ht="15">
      <c r="A6718" s="77" t="s">
        <v>10360</v>
      </c>
      <c r="B6718" s="76" t="s">
        <v>10945</v>
      </c>
    </row>
    <row r="6719" spans="1:2" ht="15">
      <c r="A6719" s="77" t="s">
        <v>10361</v>
      </c>
      <c r="B6719" s="76" t="s">
        <v>10945</v>
      </c>
    </row>
    <row r="6720" spans="1:2" ht="15">
      <c r="A6720" s="77" t="s">
        <v>10362</v>
      </c>
      <c r="B6720" s="76" t="s">
        <v>10945</v>
      </c>
    </row>
    <row r="6721" spans="1:2" ht="15">
      <c r="A6721" s="77" t="s">
        <v>10363</v>
      </c>
      <c r="B6721" s="76" t="s">
        <v>10945</v>
      </c>
    </row>
    <row r="6722" spans="1:2" ht="15">
      <c r="A6722" s="77" t="s">
        <v>10364</v>
      </c>
      <c r="B6722" s="76" t="s">
        <v>10945</v>
      </c>
    </row>
    <row r="6723" spans="1:2" ht="15">
      <c r="A6723" s="77" t="s">
        <v>3229</v>
      </c>
      <c r="B6723" s="76" t="s">
        <v>10945</v>
      </c>
    </row>
    <row r="6724" spans="1:2" ht="15">
      <c r="A6724" s="77" t="s">
        <v>10365</v>
      </c>
      <c r="B6724" s="76" t="s">
        <v>10945</v>
      </c>
    </row>
    <row r="6725" spans="1:2" ht="15">
      <c r="A6725" s="77" t="s">
        <v>10366</v>
      </c>
      <c r="B6725" s="76" t="s">
        <v>10945</v>
      </c>
    </row>
    <row r="6726" spans="1:2" ht="15">
      <c r="A6726" s="77" t="s">
        <v>10367</v>
      </c>
      <c r="B6726" s="76" t="s">
        <v>10945</v>
      </c>
    </row>
    <row r="6727" spans="1:2" ht="15">
      <c r="A6727" s="77" t="s">
        <v>10368</v>
      </c>
      <c r="B6727" s="76" t="s">
        <v>10945</v>
      </c>
    </row>
    <row r="6728" spans="1:2" ht="15">
      <c r="A6728" s="77" t="s">
        <v>10369</v>
      </c>
      <c r="B6728" s="76" t="s">
        <v>10945</v>
      </c>
    </row>
    <row r="6729" spans="1:2" ht="15">
      <c r="A6729" s="77" t="s">
        <v>10370</v>
      </c>
      <c r="B6729" s="76" t="s">
        <v>10945</v>
      </c>
    </row>
    <row r="6730" spans="1:2" ht="15">
      <c r="A6730" s="77" t="s">
        <v>10371</v>
      </c>
      <c r="B6730" s="76" t="s">
        <v>10945</v>
      </c>
    </row>
    <row r="6731" spans="1:2" ht="15">
      <c r="A6731" s="77" t="s">
        <v>10372</v>
      </c>
      <c r="B6731" s="76" t="s">
        <v>10945</v>
      </c>
    </row>
    <row r="6732" spans="1:2" ht="15">
      <c r="A6732" s="77" t="s">
        <v>10373</v>
      </c>
      <c r="B6732" s="76" t="s">
        <v>10945</v>
      </c>
    </row>
    <row r="6733" spans="1:2" ht="15">
      <c r="A6733" s="77" t="s">
        <v>10374</v>
      </c>
      <c r="B6733" s="76" t="s">
        <v>10945</v>
      </c>
    </row>
    <row r="6734" spans="1:2" ht="15">
      <c r="A6734" s="77" t="s">
        <v>10375</v>
      </c>
      <c r="B6734" s="76" t="s">
        <v>10945</v>
      </c>
    </row>
    <row r="6735" spans="1:2" ht="15">
      <c r="A6735" s="77" t="s">
        <v>10376</v>
      </c>
      <c r="B6735" s="76" t="s">
        <v>10945</v>
      </c>
    </row>
    <row r="6736" spans="1:2" ht="15">
      <c r="A6736" s="77" t="s">
        <v>10377</v>
      </c>
      <c r="B6736" s="76" t="s">
        <v>10945</v>
      </c>
    </row>
    <row r="6737" spans="1:2" ht="15">
      <c r="A6737" s="77" t="s">
        <v>10378</v>
      </c>
      <c r="B6737" s="76" t="s">
        <v>10945</v>
      </c>
    </row>
    <row r="6738" spans="1:2" ht="15">
      <c r="A6738" s="77" t="s">
        <v>10379</v>
      </c>
      <c r="B6738" s="76" t="s">
        <v>10945</v>
      </c>
    </row>
    <row r="6739" spans="1:2" ht="15">
      <c r="A6739" s="77" t="s">
        <v>2837</v>
      </c>
      <c r="B6739" s="76" t="s">
        <v>10945</v>
      </c>
    </row>
    <row r="6740" spans="1:2" ht="15">
      <c r="A6740" s="77" t="s">
        <v>10380</v>
      </c>
      <c r="B6740" s="76" t="s">
        <v>10945</v>
      </c>
    </row>
    <row r="6741" spans="1:2" ht="15">
      <c r="A6741" s="77" t="s">
        <v>10381</v>
      </c>
      <c r="B6741" s="76" t="s">
        <v>10945</v>
      </c>
    </row>
    <row r="6742" spans="1:2" ht="15">
      <c r="A6742" s="77" t="s">
        <v>10382</v>
      </c>
      <c r="B6742" s="76" t="s">
        <v>10945</v>
      </c>
    </row>
    <row r="6743" spans="1:2" ht="15">
      <c r="A6743" s="77" t="s">
        <v>10383</v>
      </c>
      <c r="B6743" s="76" t="s">
        <v>10945</v>
      </c>
    </row>
    <row r="6744" spans="1:2" ht="15">
      <c r="A6744" s="77" t="s">
        <v>10384</v>
      </c>
      <c r="B6744" s="76" t="s">
        <v>10945</v>
      </c>
    </row>
    <row r="6745" spans="1:2" ht="15">
      <c r="A6745" s="77" t="s">
        <v>10385</v>
      </c>
      <c r="B6745" s="76" t="s">
        <v>10945</v>
      </c>
    </row>
    <row r="6746" spans="1:2" ht="15">
      <c r="A6746" s="77" t="s">
        <v>10386</v>
      </c>
      <c r="B6746" s="76" t="s">
        <v>10945</v>
      </c>
    </row>
    <row r="6747" spans="1:2" ht="15">
      <c r="A6747" s="77" t="s">
        <v>10387</v>
      </c>
      <c r="B6747" s="76" t="s">
        <v>10945</v>
      </c>
    </row>
    <row r="6748" spans="1:2" ht="15">
      <c r="A6748" s="77" t="s">
        <v>10388</v>
      </c>
      <c r="B6748" s="76" t="s">
        <v>10945</v>
      </c>
    </row>
    <row r="6749" spans="1:2" ht="15">
      <c r="A6749" s="77" t="s">
        <v>10389</v>
      </c>
      <c r="B6749" s="76" t="s">
        <v>10945</v>
      </c>
    </row>
    <row r="6750" spans="1:2" ht="15">
      <c r="A6750" s="77" t="s">
        <v>10390</v>
      </c>
      <c r="B6750" s="76" t="s">
        <v>10945</v>
      </c>
    </row>
    <row r="6751" spans="1:2" ht="15">
      <c r="A6751" s="77" t="s">
        <v>10391</v>
      </c>
      <c r="B6751" s="76" t="s">
        <v>10945</v>
      </c>
    </row>
    <row r="6752" spans="1:2" ht="15">
      <c r="A6752" s="77" t="s">
        <v>10392</v>
      </c>
      <c r="B6752" s="76" t="s">
        <v>10945</v>
      </c>
    </row>
    <row r="6753" spans="1:2" ht="15">
      <c r="A6753" s="77" t="s">
        <v>10393</v>
      </c>
      <c r="B6753" s="76" t="s">
        <v>10945</v>
      </c>
    </row>
    <row r="6754" spans="1:2" ht="15">
      <c r="A6754" s="77" t="s">
        <v>10394</v>
      </c>
      <c r="B6754" s="76" t="s">
        <v>10945</v>
      </c>
    </row>
    <row r="6755" spans="1:2" ht="15">
      <c r="A6755" s="77" t="s">
        <v>10395</v>
      </c>
      <c r="B6755" s="76" t="s">
        <v>10945</v>
      </c>
    </row>
    <row r="6756" spans="1:2" ht="15">
      <c r="A6756" s="77" t="s">
        <v>10396</v>
      </c>
      <c r="B6756" s="76" t="s">
        <v>10945</v>
      </c>
    </row>
    <row r="6757" spans="1:2" ht="15">
      <c r="A6757" s="77" t="s">
        <v>10397</v>
      </c>
      <c r="B6757" s="76" t="s">
        <v>10945</v>
      </c>
    </row>
    <row r="6758" spans="1:2" ht="15">
      <c r="A6758" s="77" t="s">
        <v>10398</v>
      </c>
      <c r="B6758" s="76" t="s">
        <v>10945</v>
      </c>
    </row>
    <row r="6759" spans="1:2" ht="15">
      <c r="A6759" s="77" t="s">
        <v>10399</v>
      </c>
      <c r="B6759" s="76" t="s">
        <v>10945</v>
      </c>
    </row>
    <row r="6760" spans="1:2" ht="15">
      <c r="A6760" s="77" t="s">
        <v>10400</v>
      </c>
      <c r="B6760" s="76" t="s">
        <v>10945</v>
      </c>
    </row>
    <row r="6761" spans="1:2" ht="15">
      <c r="A6761" s="77" t="s">
        <v>10401</v>
      </c>
      <c r="B6761" s="76" t="s">
        <v>10945</v>
      </c>
    </row>
    <row r="6762" spans="1:2" ht="15">
      <c r="A6762" s="77" t="s">
        <v>10402</v>
      </c>
      <c r="B6762" s="76" t="s">
        <v>10945</v>
      </c>
    </row>
    <row r="6763" spans="1:2" ht="15">
      <c r="A6763" s="77" t="s">
        <v>10403</v>
      </c>
      <c r="B6763" s="76" t="s">
        <v>10945</v>
      </c>
    </row>
    <row r="6764" spans="1:2" ht="15">
      <c r="A6764" s="77" t="s">
        <v>10404</v>
      </c>
      <c r="B6764" s="76" t="s">
        <v>10945</v>
      </c>
    </row>
    <row r="6765" spans="1:2" ht="15">
      <c r="A6765" s="77" t="s">
        <v>10405</v>
      </c>
      <c r="B6765" s="76" t="s">
        <v>10945</v>
      </c>
    </row>
    <row r="6766" spans="1:2" ht="15">
      <c r="A6766" s="77" t="s">
        <v>10406</v>
      </c>
      <c r="B6766" s="76" t="s">
        <v>10945</v>
      </c>
    </row>
    <row r="6767" spans="1:2" ht="15">
      <c r="A6767" s="77" t="s">
        <v>10407</v>
      </c>
      <c r="B6767" s="76" t="s">
        <v>10945</v>
      </c>
    </row>
    <row r="6768" spans="1:2" ht="15">
      <c r="A6768" s="77" t="s">
        <v>10408</v>
      </c>
      <c r="B6768" s="76" t="s">
        <v>10945</v>
      </c>
    </row>
    <row r="6769" spans="1:2" ht="15">
      <c r="A6769" s="77" t="s">
        <v>10409</v>
      </c>
      <c r="B6769" s="76" t="s">
        <v>10945</v>
      </c>
    </row>
    <row r="6770" spans="1:2" ht="15">
      <c r="A6770" s="77" t="s">
        <v>10410</v>
      </c>
      <c r="B6770" s="76" t="s">
        <v>10945</v>
      </c>
    </row>
    <row r="6771" spans="1:2" ht="15">
      <c r="A6771" s="77" t="s">
        <v>10411</v>
      </c>
      <c r="B6771" s="76" t="s">
        <v>10945</v>
      </c>
    </row>
    <row r="6772" spans="1:2" ht="15">
      <c r="A6772" s="77" t="s">
        <v>10412</v>
      </c>
      <c r="B6772" s="76" t="s">
        <v>10945</v>
      </c>
    </row>
    <row r="6773" spans="1:2" ht="15">
      <c r="A6773" s="77" t="s">
        <v>10413</v>
      </c>
      <c r="B6773" s="76" t="s">
        <v>10945</v>
      </c>
    </row>
    <row r="6774" spans="1:2" ht="15">
      <c r="A6774" s="77" t="s">
        <v>10414</v>
      </c>
      <c r="B6774" s="76" t="s">
        <v>10945</v>
      </c>
    </row>
    <row r="6775" spans="1:2" ht="15">
      <c r="A6775" s="77" t="s">
        <v>10415</v>
      </c>
      <c r="B6775" s="76" t="s">
        <v>10945</v>
      </c>
    </row>
    <row r="6776" spans="1:2" ht="15">
      <c r="A6776" s="77" t="s">
        <v>10416</v>
      </c>
      <c r="B6776" s="76" t="s">
        <v>10945</v>
      </c>
    </row>
    <row r="6777" spans="1:2" ht="15">
      <c r="A6777" s="77" t="s">
        <v>10417</v>
      </c>
      <c r="B6777" s="76" t="s">
        <v>10945</v>
      </c>
    </row>
    <row r="6778" spans="1:2" ht="15">
      <c r="A6778" s="77" t="s">
        <v>10418</v>
      </c>
      <c r="B6778" s="76" t="s">
        <v>10945</v>
      </c>
    </row>
    <row r="6779" spans="1:2" ht="15">
      <c r="A6779" s="77" t="s">
        <v>10419</v>
      </c>
      <c r="B6779" s="76" t="s">
        <v>10945</v>
      </c>
    </row>
    <row r="6780" spans="1:2" ht="15">
      <c r="A6780" s="77" t="s">
        <v>10420</v>
      </c>
      <c r="B6780" s="76" t="s">
        <v>10945</v>
      </c>
    </row>
    <row r="6781" spans="1:2" ht="15">
      <c r="A6781" s="77" t="s">
        <v>10421</v>
      </c>
      <c r="B6781" s="76" t="s">
        <v>10945</v>
      </c>
    </row>
    <row r="6782" spans="1:2" ht="15">
      <c r="A6782" s="77" t="s">
        <v>10422</v>
      </c>
      <c r="B6782" s="76" t="s">
        <v>10945</v>
      </c>
    </row>
    <row r="6783" spans="1:2" ht="15">
      <c r="A6783" s="77" t="s">
        <v>10423</v>
      </c>
      <c r="B6783" s="76" t="s">
        <v>10945</v>
      </c>
    </row>
    <row r="6784" spans="1:2" ht="15">
      <c r="A6784" s="77" t="s">
        <v>10424</v>
      </c>
      <c r="B6784" s="76" t="s">
        <v>10945</v>
      </c>
    </row>
    <row r="6785" spans="1:2" ht="15">
      <c r="A6785" s="77" t="s">
        <v>10425</v>
      </c>
      <c r="B6785" s="76" t="s">
        <v>10945</v>
      </c>
    </row>
    <row r="6786" spans="1:2" ht="15">
      <c r="A6786" s="77" t="s">
        <v>10426</v>
      </c>
      <c r="B6786" s="76" t="s">
        <v>10945</v>
      </c>
    </row>
    <row r="6787" spans="1:2" ht="15">
      <c r="A6787" s="77" t="s">
        <v>10427</v>
      </c>
      <c r="B6787" s="76" t="s">
        <v>10945</v>
      </c>
    </row>
    <row r="6788" spans="1:2" ht="15">
      <c r="A6788" s="77" t="s">
        <v>10428</v>
      </c>
      <c r="B6788" s="76" t="s">
        <v>10945</v>
      </c>
    </row>
    <row r="6789" spans="1:2" ht="15">
      <c r="A6789" s="77" t="s">
        <v>10429</v>
      </c>
      <c r="B6789" s="76" t="s">
        <v>10945</v>
      </c>
    </row>
    <row r="6790" spans="1:2" ht="15">
      <c r="A6790" s="77" t="s">
        <v>10430</v>
      </c>
      <c r="B6790" s="76" t="s">
        <v>10945</v>
      </c>
    </row>
    <row r="6791" spans="1:2" ht="15">
      <c r="A6791" s="77" t="s">
        <v>10431</v>
      </c>
      <c r="B6791" s="76" t="s">
        <v>10945</v>
      </c>
    </row>
    <row r="6792" spans="1:2" ht="15">
      <c r="A6792" s="77" t="s">
        <v>10432</v>
      </c>
      <c r="B6792" s="76" t="s">
        <v>10945</v>
      </c>
    </row>
    <row r="6793" spans="1:2" ht="15">
      <c r="A6793" s="77" t="s">
        <v>10433</v>
      </c>
      <c r="B6793" s="76" t="s">
        <v>10945</v>
      </c>
    </row>
    <row r="6794" spans="1:2" ht="15">
      <c r="A6794" s="77" t="s">
        <v>10434</v>
      </c>
      <c r="B6794" s="76" t="s">
        <v>10945</v>
      </c>
    </row>
    <row r="6795" spans="1:2" ht="15">
      <c r="A6795" s="77" t="s">
        <v>10435</v>
      </c>
      <c r="B6795" s="76" t="s">
        <v>10945</v>
      </c>
    </row>
    <row r="6796" spans="1:2" ht="15">
      <c r="A6796" s="77" t="s">
        <v>10436</v>
      </c>
      <c r="B6796" s="76" t="s">
        <v>10945</v>
      </c>
    </row>
    <row r="6797" spans="1:2" ht="15">
      <c r="A6797" s="77" t="s">
        <v>3043</v>
      </c>
      <c r="B6797" s="76" t="s">
        <v>10945</v>
      </c>
    </row>
    <row r="6798" spans="1:2" ht="15">
      <c r="A6798" s="77" t="s">
        <v>10437</v>
      </c>
      <c r="B6798" s="76" t="s">
        <v>10945</v>
      </c>
    </row>
    <row r="6799" spans="1:2" ht="15">
      <c r="A6799" s="77" t="s">
        <v>10438</v>
      </c>
      <c r="B6799" s="76" t="s">
        <v>10945</v>
      </c>
    </row>
    <row r="6800" spans="1:2" ht="15">
      <c r="A6800" s="77" t="s">
        <v>10439</v>
      </c>
      <c r="B6800" s="76" t="s">
        <v>10945</v>
      </c>
    </row>
    <row r="6801" spans="1:2" ht="15">
      <c r="A6801" s="77" t="s">
        <v>10440</v>
      </c>
      <c r="B6801" s="76" t="s">
        <v>10945</v>
      </c>
    </row>
    <row r="6802" spans="1:2" ht="15">
      <c r="A6802" s="77" t="s">
        <v>2438</v>
      </c>
      <c r="B6802" s="76" t="s">
        <v>10945</v>
      </c>
    </row>
    <row r="6803" spans="1:2" ht="15">
      <c r="A6803" s="77" t="s">
        <v>10441</v>
      </c>
      <c r="B6803" s="76" t="s">
        <v>10945</v>
      </c>
    </row>
    <row r="6804" spans="1:2" ht="15">
      <c r="A6804" s="77" t="s">
        <v>10442</v>
      </c>
      <c r="B6804" s="76" t="s">
        <v>10945</v>
      </c>
    </row>
    <row r="6805" spans="1:2" ht="15">
      <c r="A6805" s="77" t="s">
        <v>10443</v>
      </c>
      <c r="B6805" s="76" t="s">
        <v>10945</v>
      </c>
    </row>
    <row r="6806" spans="1:2" ht="15">
      <c r="A6806" s="77" t="s">
        <v>10444</v>
      </c>
      <c r="B6806" s="76" t="s">
        <v>10945</v>
      </c>
    </row>
    <row r="6807" spans="1:2" ht="15">
      <c r="A6807" s="77" t="s">
        <v>10445</v>
      </c>
      <c r="B6807" s="76" t="s">
        <v>10945</v>
      </c>
    </row>
    <row r="6808" spans="1:2" ht="15">
      <c r="A6808" s="77" t="s">
        <v>10446</v>
      </c>
      <c r="B6808" s="76" t="s">
        <v>10945</v>
      </c>
    </row>
    <row r="6809" spans="1:2" ht="15">
      <c r="A6809" s="77" t="s">
        <v>10447</v>
      </c>
      <c r="B6809" s="76" t="s">
        <v>10945</v>
      </c>
    </row>
    <row r="6810" spans="1:2" ht="15">
      <c r="A6810" s="77" t="s">
        <v>10448</v>
      </c>
      <c r="B6810" s="76" t="s">
        <v>10945</v>
      </c>
    </row>
    <row r="6811" spans="1:2" ht="15">
      <c r="A6811" s="77" t="s">
        <v>10449</v>
      </c>
      <c r="B6811" s="76" t="s">
        <v>10945</v>
      </c>
    </row>
    <row r="6812" spans="1:2" ht="15">
      <c r="A6812" s="77" t="s">
        <v>10450</v>
      </c>
      <c r="B6812" s="76" t="s">
        <v>10945</v>
      </c>
    </row>
    <row r="6813" spans="1:2" ht="15">
      <c r="A6813" s="77" t="s">
        <v>10451</v>
      </c>
      <c r="B6813" s="76" t="s">
        <v>10945</v>
      </c>
    </row>
    <row r="6814" spans="1:2" ht="15">
      <c r="A6814" s="77" t="s">
        <v>10452</v>
      </c>
      <c r="B6814" s="76" t="s">
        <v>10945</v>
      </c>
    </row>
    <row r="6815" spans="1:2" ht="15">
      <c r="A6815" s="77" t="s">
        <v>10453</v>
      </c>
      <c r="B6815" s="76" t="s">
        <v>10945</v>
      </c>
    </row>
    <row r="6816" spans="1:2" ht="15">
      <c r="A6816" s="77" t="s">
        <v>10454</v>
      </c>
      <c r="B6816" s="76" t="s">
        <v>10945</v>
      </c>
    </row>
    <row r="6817" spans="1:2" ht="15">
      <c r="A6817" s="77" t="s">
        <v>10455</v>
      </c>
      <c r="B6817" s="76" t="s">
        <v>10945</v>
      </c>
    </row>
    <row r="6818" spans="1:2" ht="15">
      <c r="A6818" s="77" t="s">
        <v>10456</v>
      </c>
      <c r="B6818" s="76" t="s">
        <v>10945</v>
      </c>
    </row>
    <row r="6819" spans="1:2" ht="15">
      <c r="A6819" s="77" t="s">
        <v>10457</v>
      </c>
      <c r="B6819" s="76" t="s">
        <v>10945</v>
      </c>
    </row>
    <row r="6820" spans="1:2" ht="15">
      <c r="A6820" s="77" t="s">
        <v>10458</v>
      </c>
      <c r="B6820" s="76" t="s">
        <v>10945</v>
      </c>
    </row>
    <row r="6821" spans="1:2" ht="15">
      <c r="A6821" s="77" t="s">
        <v>10459</v>
      </c>
      <c r="B6821" s="76" t="s">
        <v>10945</v>
      </c>
    </row>
    <row r="6822" spans="1:2" ht="15">
      <c r="A6822" s="77" t="s">
        <v>10460</v>
      </c>
      <c r="B6822" s="76" t="s">
        <v>10945</v>
      </c>
    </row>
    <row r="6823" spans="1:2" ht="15">
      <c r="A6823" s="77" t="s">
        <v>10461</v>
      </c>
      <c r="B6823" s="76" t="s">
        <v>10945</v>
      </c>
    </row>
    <row r="6824" spans="1:2" ht="15">
      <c r="A6824" s="77" t="s">
        <v>10462</v>
      </c>
      <c r="B6824" s="76" t="s">
        <v>10945</v>
      </c>
    </row>
    <row r="6825" spans="1:2" ht="15">
      <c r="A6825" s="77" t="s">
        <v>10463</v>
      </c>
      <c r="B6825" s="76" t="s">
        <v>10945</v>
      </c>
    </row>
    <row r="6826" spans="1:2" ht="15">
      <c r="A6826" s="77" t="s">
        <v>10464</v>
      </c>
      <c r="B6826" s="76" t="s">
        <v>10945</v>
      </c>
    </row>
    <row r="6827" spans="1:2" ht="15">
      <c r="A6827" s="77" t="s">
        <v>10465</v>
      </c>
      <c r="B6827" s="76" t="s">
        <v>10945</v>
      </c>
    </row>
    <row r="6828" spans="1:2" ht="15">
      <c r="A6828" s="77" t="s">
        <v>10466</v>
      </c>
      <c r="B6828" s="76" t="s">
        <v>10945</v>
      </c>
    </row>
    <row r="6829" spans="1:2" ht="15">
      <c r="A6829" s="77" t="s">
        <v>10467</v>
      </c>
      <c r="B6829" s="76" t="s">
        <v>10945</v>
      </c>
    </row>
    <row r="6830" spans="1:2" ht="15">
      <c r="A6830" s="77" t="s">
        <v>10468</v>
      </c>
      <c r="B6830" s="76" t="s">
        <v>10945</v>
      </c>
    </row>
    <row r="6831" spans="1:2" ht="15">
      <c r="A6831" s="77" t="s">
        <v>10469</v>
      </c>
      <c r="B6831" s="76" t="s">
        <v>10945</v>
      </c>
    </row>
    <row r="6832" spans="1:2" ht="15">
      <c r="A6832" s="77" t="s">
        <v>10470</v>
      </c>
      <c r="B6832" s="76" t="s">
        <v>10945</v>
      </c>
    </row>
    <row r="6833" spans="1:2" ht="15">
      <c r="A6833" s="77" t="s">
        <v>10471</v>
      </c>
      <c r="B6833" s="76" t="s">
        <v>10945</v>
      </c>
    </row>
    <row r="6834" spans="1:2" ht="15">
      <c r="A6834" s="77" t="s">
        <v>10472</v>
      </c>
      <c r="B6834" s="76" t="s">
        <v>10945</v>
      </c>
    </row>
    <row r="6835" spans="1:2" ht="15">
      <c r="A6835" s="77" t="s">
        <v>10473</v>
      </c>
      <c r="B6835" s="76" t="s">
        <v>10945</v>
      </c>
    </row>
    <row r="6836" spans="1:2" ht="15">
      <c r="A6836" s="77" t="s">
        <v>10474</v>
      </c>
      <c r="B6836" s="76" t="s">
        <v>10945</v>
      </c>
    </row>
    <row r="6837" spans="1:2" ht="15">
      <c r="A6837" s="77" t="s">
        <v>10475</v>
      </c>
      <c r="B6837" s="76" t="s">
        <v>10945</v>
      </c>
    </row>
    <row r="6838" spans="1:2" ht="15">
      <c r="A6838" s="77" t="s">
        <v>10476</v>
      </c>
      <c r="B6838" s="76" t="s">
        <v>10945</v>
      </c>
    </row>
    <row r="6839" spans="1:2" ht="15">
      <c r="A6839" s="77" t="s">
        <v>10477</v>
      </c>
      <c r="B6839" s="76" t="s">
        <v>10945</v>
      </c>
    </row>
    <row r="6840" spans="1:2" ht="15">
      <c r="A6840" s="77" t="s">
        <v>10478</v>
      </c>
      <c r="B6840" s="76" t="s">
        <v>10945</v>
      </c>
    </row>
    <row r="6841" spans="1:2" ht="15">
      <c r="A6841" s="77" t="s">
        <v>10479</v>
      </c>
      <c r="B6841" s="76" t="s">
        <v>10945</v>
      </c>
    </row>
    <row r="6842" spans="1:2" ht="15">
      <c r="A6842" s="77" t="s">
        <v>10480</v>
      </c>
      <c r="B6842" s="76" t="s">
        <v>10945</v>
      </c>
    </row>
    <row r="6843" spans="1:2" ht="15">
      <c r="A6843" s="77" t="s">
        <v>10481</v>
      </c>
      <c r="B6843" s="76" t="s">
        <v>10945</v>
      </c>
    </row>
    <row r="6844" spans="1:2" ht="15">
      <c r="A6844" s="77" t="s">
        <v>10482</v>
      </c>
      <c r="B6844" s="76" t="s">
        <v>10945</v>
      </c>
    </row>
    <row r="6845" spans="1:2" ht="15">
      <c r="A6845" s="77" t="s">
        <v>10483</v>
      </c>
      <c r="B6845" s="76" t="s">
        <v>10945</v>
      </c>
    </row>
    <row r="6846" spans="1:2" ht="15">
      <c r="A6846" s="77" t="s">
        <v>10484</v>
      </c>
      <c r="B6846" s="76" t="s">
        <v>10945</v>
      </c>
    </row>
    <row r="6847" spans="1:2" ht="15">
      <c r="A6847" s="77" t="s">
        <v>10485</v>
      </c>
      <c r="B6847" s="76" t="s">
        <v>10945</v>
      </c>
    </row>
    <row r="6848" spans="1:2" ht="15">
      <c r="A6848" s="77" t="s">
        <v>10486</v>
      </c>
      <c r="B6848" s="76" t="s">
        <v>10945</v>
      </c>
    </row>
    <row r="6849" spans="1:2" ht="15">
      <c r="A6849" s="77" t="s">
        <v>10487</v>
      </c>
      <c r="B6849" s="76" t="s">
        <v>10945</v>
      </c>
    </row>
    <row r="6850" spans="1:2" ht="15">
      <c r="A6850" s="77" t="s">
        <v>10488</v>
      </c>
      <c r="B6850" s="76" t="s">
        <v>10945</v>
      </c>
    </row>
    <row r="6851" spans="1:2" ht="15">
      <c r="A6851" s="77" t="s">
        <v>10489</v>
      </c>
      <c r="B6851" s="76" t="s">
        <v>10945</v>
      </c>
    </row>
    <row r="6852" spans="1:2" ht="15">
      <c r="A6852" s="77" t="s">
        <v>10490</v>
      </c>
      <c r="B6852" s="76" t="s">
        <v>10945</v>
      </c>
    </row>
    <row r="6853" spans="1:2" ht="15">
      <c r="A6853" s="77" t="s">
        <v>10491</v>
      </c>
      <c r="B6853" s="76" t="s">
        <v>10945</v>
      </c>
    </row>
    <row r="6854" spans="1:2" ht="15">
      <c r="A6854" s="77" t="s">
        <v>10492</v>
      </c>
      <c r="B6854" s="76" t="s">
        <v>10945</v>
      </c>
    </row>
    <row r="6855" spans="1:2" ht="15">
      <c r="A6855" s="77" t="s">
        <v>10493</v>
      </c>
      <c r="B6855" s="76" t="s">
        <v>10945</v>
      </c>
    </row>
    <row r="6856" spans="1:2" ht="15">
      <c r="A6856" s="77" t="s">
        <v>10494</v>
      </c>
      <c r="B6856" s="76" t="s">
        <v>10945</v>
      </c>
    </row>
    <row r="6857" spans="1:2" ht="15">
      <c r="A6857" s="77" t="s">
        <v>10495</v>
      </c>
      <c r="B6857" s="76" t="s">
        <v>10945</v>
      </c>
    </row>
    <row r="6858" spans="1:2" ht="15">
      <c r="A6858" s="77" t="s">
        <v>10496</v>
      </c>
      <c r="B6858" s="76" t="s">
        <v>10945</v>
      </c>
    </row>
    <row r="6859" spans="1:2" ht="15">
      <c r="A6859" s="77" t="s">
        <v>10497</v>
      </c>
      <c r="B6859" s="76" t="s">
        <v>10945</v>
      </c>
    </row>
    <row r="6860" spans="1:2" ht="15">
      <c r="A6860" s="77" t="s">
        <v>10498</v>
      </c>
      <c r="B6860" s="76" t="s">
        <v>10945</v>
      </c>
    </row>
    <row r="6861" spans="1:2" ht="15">
      <c r="A6861" s="77" t="s">
        <v>10499</v>
      </c>
      <c r="B6861" s="76" t="s">
        <v>10945</v>
      </c>
    </row>
    <row r="6862" spans="1:2" ht="15">
      <c r="A6862" s="77" t="s">
        <v>10500</v>
      </c>
      <c r="B6862" s="76" t="s">
        <v>10945</v>
      </c>
    </row>
    <row r="6863" spans="1:2" ht="15">
      <c r="A6863" s="77" t="s">
        <v>10501</v>
      </c>
      <c r="B6863" s="76" t="s">
        <v>10945</v>
      </c>
    </row>
    <row r="6864" spans="1:2" ht="15">
      <c r="A6864" s="77" t="s">
        <v>10502</v>
      </c>
      <c r="B6864" s="76" t="s">
        <v>10945</v>
      </c>
    </row>
    <row r="6865" spans="1:2" ht="15">
      <c r="A6865" s="77" t="s">
        <v>10503</v>
      </c>
      <c r="B6865" s="76" t="s">
        <v>10945</v>
      </c>
    </row>
    <row r="6866" spans="1:2" ht="15">
      <c r="A6866" s="77" t="s">
        <v>10504</v>
      </c>
      <c r="B6866" s="76" t="s">
        <v>10945</v>
      </c>
    </row>
    <row r="6867" spans="1:2" ht="15">
      <c r="A6867" s="77" t="s">
        <v>10505</v>
      </c>
      <c r="B6867" s="76" t="s">
        <v>10945</v>
      </c>
    </row>
    <row r="6868" spans="1:2" ht="15">
      <c r="A6868" s="77" t="s">
        <v>10506</v>
      </c>
      <c r="B6868" s="76" t="s">
        <v>10945</v>
      </c>
    </row>
    <row r="6869" spans="1:2" ht="15">
      <c r="A6869" s="77" t="s">
        <v>10507</v>
      </c>
      <c r="B6869" s="76" t="s">
        <v>10945</v>
      </c>
    </row>
    <row r="6870" spans="1:2" ht="15">
      <c r="A6870" s="77" t="s">
        <v>10508</v>
      </c>
      <c r="B6870" s="76" t="s">
        <v>10945</v>
      </c>
    </row>
    <row r="6871" spans="1:2" ht="15">
      <c r="A6871" s="77" t="s">
        <v>10509</v>
      </c>
      <c r="B6871" s="76" t="s">
        <v>10945</v>
      </c>
    </row>
    <row r="6872" spans="1:2" ht="15">
      <c r="A6872" s="77" t="s">
        <v>10510</v>
      </c>
      <c r="B6872" s="76" t="s">
        <v>10945</v>
      </c>
    </row>
    <row r="6873" spans="1:2" ht="15">
      <c r="A6873" s="77" t="s">
        <v>3537</v>
      </c>
      <c r="B6873" s="76" t="s">
        <v>10945</v>
      </c>
    </row>
    <row r="6874" spans="1:2" ht="15">
      <c r="A6874" s="77" t="s">
        <v>10511</v>
      </c>
      <c r="B6874" s="76" t="s">
        <v>10945</v>
      </c>
    </row>
    <row r="6875" spans="1:2" ht="15">
      <c r="A6875" s="77" t="s">
        <v>10512</v>
      </c>
      <c r="B6875" s="76" t="s">
        <v>10945</v>
      </c>
    </row>
    <row r="6876" spans="1:2" ht="15">
      <c r="A6876" s="77" t="s">
        <v>10513</v>
      </c>
      <c r="B6876" s="76" t="s">
        <v>10945</v>
      </c>
    </row>
    <row r="6877" spans="1:2" ht="15">
      <c r="A6877" s="77" t="s">
        <v>10514</v>
      </c>
      <c r="B6877" s="76" t="s">
        <v>10945</v>
      </c>
    </row>
    <row r="6878" spans="1:2" ht="15">
      <c r="A6878" s="77" t="s">
        <v>10515</v>
      </c>
      <c r="B6878" s="76" t="s">
        <v>10945</v>
      </c>
    </row>
    <row r="6879" spans="1:2" ht="15">
      <c r="A6879" s="77" t="s">
        <v>10516</v>
      </c>
      <c r="B6879" s="76" t="s">
        <v>10945</v>
      </c>
    </row>
    <row r="6880" spans="1:2" ht="15">
      <c r="A6880" s="77" t="s">
        <v>10517</v>
      </c>
      <c r="B6880" s="76" t="s">
        <v>10945</v>
      </c>
    </row>
    <row r="6881" spans="1:2" ht="15">
      <c r="A6881" s="77" t="s">
        <v>10518</v>
      </c>
      <c r="B6881" s="76" t="s">
        <v>10945</v>
      </c>
    </row>
    <row r="6882" spans="1:2" ht="15">
      <c r="A6882" s="77" t="s">
        <v>10519</v>
      </c>
      <c r="B6882" s="76" t="s">
        <v>10945</v>
      </c>
    </row>
    <row r="6883" spans="1:2" ht="15">
      <c r="A6883" s="77" t="s">
        <v>10520</v>
      </c>
      <c r="B6883" s="76" t="s">
        <v>10945</v>
      </c>
    </row>
    <row r="6884" spans="1:2" ht="15">
      <c r="A6884" s="77" t="s">
        <v>10521</v>
      </c>
      <c r="B6884" s="76" t="s">
        <v>10945</v>
      </c>
    </row>
    <row r="6885" spans="1:2" ht="15">
      <c r="A6885" s="77" t="s">
        <v>10522</v>
      </c>
      <c r="B6885" s="76" t="s">
        <v>10945</v>
      </c>
    </row>
    <row r="6886" spans="1:2" ht="15">
      <c r="A6886" s="77" t="s">
        <v>10523</v>
      </c>
      <c r="B6886" s="76" t="s">
        <v>10945</v>
      </c>
    </row>
    <row r="6887" spans="1:2" ht="15">
      <c r="A6887" s="77" t="s">
        <v>10524</v>
      </c>
      <c r="B6887" s="76" t="s">
        <v>10945</v>
      </c>
    </row>
    <row r="6888" spans="1:2" ht="15">
      <c r="A6888" s="77" t="s">
        <v>10525</v>
      </c>
      <c r="B6888" s="76" t="s">
        <v>10945</v>
      </c>
    </row>
    <row r="6889" spans="1:2" ht="15">
      <c r="A6889" s="77" t="s">
        <v>10526</v>
      </c>
      <c r="B6889" s="76" t="s">
        <v>10945</v>
      </c>
    </row>
    <row r="6890" spans="1:2" ht="15">
      <c r="A6890" s="77" t="s">
        <v>10527</v>
      </c>
      <c r="B6890" s="76" t="s">
        <v>10945</v>
      </c>
    </row>
    <row r="6891" spans="1:2" ht="15">
      <c r="A6891" s="77" t="s">
        <v>10528</v>
      </c>
      <c r="B6891" s="76" t="s">
        <v>10945</v>
      </c>
    </row>
    <row r="6892" spans="1:2" ht="15">
      <c r="A6892" s="77" t="s">
        <v>10529</v>
      </c>
      <c r="B6892" s="76" t="s">
        <v>10945</v>
      </c>
    </row>
    <row r="6893" spans="1:2" ht="15">
      <c r="A6893" s="77" t="s">
        <v>10530</v>
      </c>
      <c r="B6893" s="76" t="s">
        <v>10945</v>
      </c>
    </row>
    <row r="6894" spans="1:2" ht="15">
      <c r="A6894" s="77" t="s">
        <v>10531</v>
      </c>
      <c r="B6894" s="76" t="s">
        <v>10945</v>
      </c>
    </row>
    <row r="6895" spans="1:2" ht="15">
      <c r="A6895" s="77" t="s">
        <v>10532</v>
      </c>
      <c r="B6895" s="76" t="s">
        <v>10945</v>
      </c>
    </row>
    <row r="6896" spans="1:2" ht="15">
      <c r="A6896" s="77" t="s">
        <v>10533</v>
      </c>
      <c r="B6896" s="76" t="s">
        <v>10945</v>
      </c>
    </row>
    <row r="6897" spans="1:2" ht="15">
      <c r="A6897" s="77" t="s">
        <v>10534</v>
      </c>
      <c r="B6897" s="76" t="s">
        <v>10945</v>
      </c>
    </row>
    <row r="6898" spans="1:2" ht="15">
      <c r="A6898" s="77" t="s">
        <v>10535</v>
      </c>
      <c r="B6898" s="76" t="s">
        <v>10945</v>
      </c>
    </row>
    <row r="6899" spans="1:2" ht="15">
      <c r="A6899" s="77" t="s">
        <v>10536</v>
      </c>
      <c r="B6899" s="76" t="s">
        <v>10945</v>
      </c>
    </row>
    <row r="6900" spans="1:2" ht="15">
      <c r="A6900" s="77" t="s">
        <v>10537</v>
      </c>
      <c r="B6900" s="76" t="s">
        <v>10945</v>
      </c>
    </row>
    <row r="6901" spans="1:2" ht="15">
      <c r="A6901" s="77" t="s">
        <v>10538</v>
      </c>
      <c r="B6901" s="76" t="s">
        <v>10945</v>
      </c>
    </row>
    <row r="6902" spans="1:2" ht="15">
      <c r="A6902" s="77" t="s">
        <v>10539</v>
      </c>
      <c r="B6902" s="76" t="s">
        <v>10945</v>
      </c>
    </row>
    <row r="6903" spans="1:2" ht="15">
      <c r="A6903" s="77" t="s">
        <v>10540</v>
      </c>
      <c r="B6903" s="76" t="s">
        <v>10945</v>
      </c>
    </row>
    <row r="6904" spans="1:2" ht="15">
      <c r="A6904" s="77" t="s">
        <v>10541</v>
      </c>
      <c r="B6904" s="76" t="s">
        <v>10945</v>
      </c>
    </row>
    <row r="6905" spans="1:2" ht="15">
      <c r="A6905" s="77" t="s">
        <v>10542</v>
      </c>
      <c r="B6905" s="76" t="s">
        <v>10945</v>
      </c>
    </row>
    <row r="6906" spans="1:2" ht="15">
      <c r="A6906" s="77" t="s">
        <v>10543</v>
      </c>
      <c r="B6906" s="76" t="s">
        <v>10945</v>
      </c>
    </row>
    <row r="6907" spans="1:2" ht="15">
      <c r="A6907" s="77" t="s">
        <v>10544</v>
      </c>
      <c r="B6907" s="76" t="s">
        <v>10945</v>
      </c>
    </row>
    <row r="6908" spans="1:2" ht="15">
      <c r="A6908" s="77" t="s">
        <v>10545</v>
      </c>
      <c r="B6908" s="76" t="s">
        <v>10945</v>
      </c>
    </row>
    <row r="6909" spans="1:2" ht="15">
      <c r="A6909" s="77" t="s">
        <v>10546</v>
      </c>
      <c r="B6909" s="76" t="s">
        <v>10945</v>
      </c>
    </row>
    <row r="6910" spans="1:2" ht="15">
      <c r="A6910" s="77" t="s">
        <v>10547</v>
      </c>
      <c r="B6910" s="76" t="s">
        <v>10945</v>
      </c>
    </row>
    <row r="6911" spans="1:2" ht="15">
      <c r="A6911" s="77" t="s">
        <v>10548</v>
      </c>
      <c r="B6911" s="76" t="s">
        <v>10945</v>
      </c>
    </row>
    <row r="6912" spans="1:2" ht="15">
      <c r="A6912" s="77" t="s">
        <v>10549</v>
      </c>
      <c r="B6912" s="76" t="s">
        <v>10945</v>
      </c>
    </row>
    <row r="6913" spans="1:2" ht="15">
      <c r="A6913" s="77" t="s">
        <v>10550</v>
      </c>
      <c r="B6913" s="76" t="s">
        <v>10945</v>
      </c>
    </row>
    <row r="6914" spans="1:2" ht="15">
      <c r="A6914" s="77" t="s">
        <v>10551</v>
      </c>
      <c r="B6914" s="76" t="s">
        <v>10945</v>
      </c>
    </row>
    <row r="6915" spans="1:2" ht="15">
      <c r="A6915" s="77" t="s">
        <v>10552</v>
      </c>
      <c r="B6915" s="76" t="s">
        <v>10945</v>
      </c>
    </row>
    <row r="6916" spans="1:2" ht="15">
      <c r="A6916" s="77" t="s">
        <v>10553</v>
      </c>
      <c r="B6916" s="76" t="s">
        <v>10945</v>
      </c>
    </row>
    <row r="6917" spans="1:2" ht="15">
      <c r="A6917" s="77" t="s">
        <v>10554</v>
      </c>
      <c r="B6917" s="76" t="s">
        <v>10945</v>
      </c>
    </row>
    <row r="6918" spans="1:2" ht="15">
      <c r="A6918" s="77" t="s">
        <v>10555</v>
      </c>
      <c r="B6918" s="76" t="s">
        <v>10945</v>
      </c>
    </row>
    <row r="6919" spans="1:2" ht="15">
      <c r="A6919" s="77" t="s">
        <v>10556</v>
      </c>
      <c r="B6919" s="76" t="s">
        <v>10945</v>
      </c>
    </row>
    <row r="6920" spans="1:2" ht="15">
      <c r="A6920" s="77" t="s">
        <v>10557</v>
      </c>
      <c r="B6920" s="76" t="s">
        <v>10945</v>
      </c>
    </row>
    <row r="6921" spans="1:2" ht="15">
      <c r="A6921" s="77" t="s">
        <v>10558</v>
      </c>
      <c r="B6921" s="76" t="s">
        <v>10945</v>
      </c>
    </row>
    <row r="6922" spans="1:2" ht="15">
      <c r="A6922" s="77" t="s">
        <v>10559</v>
      </c>
      <c r="B6922" s="76" t="s">
        <v>10945</v>
      </c>
    </row>
    <row r="6923" spans="1:2" ht="15">
      <c r="A6923" s="77" t="s">
        <v>3724</v>
      </c>
      <c r="B6923" s="76" t="s">
        <v>10945</v>
      </c>
    </row>
    <row r="6924" spans="1:2" ht="15">
      <c r="A6924" s="77" t="s">
        <v>10560</v>
      </c>
      <c r="B6924" s="76" t="s">
        <v>10945</v>
      </c>
    </row>
    <row r="6925" spans="1:2" ht="15">
      <c r="A6925" s="77" t="s">
        <v>10561</v>
      </c>
      <c r="B6925" s="76" t="s">
        <v>10945</v>
      </c>
    </row>
    <row r="6926" spans="1:2" ht="15">
      <c r="A6926" s="77" t="s">
        <v>10562</v>
      </c>
      <c r="B6926" s="76" t="s">
        <v>10945</v>
      </c>
    </row>
    <row r="6927" spans="1:2" ht="15">
      <c r="A6927" s="77" t="s">
        <v>10563</v>
      </c>
      <c r="B6927" s="76" t="s">
        <v>10945</v>
      </c>
    </row>
    <row r="6928" spans="1:2" ht="15">
      <c r="A6928" s="77" t="s">
        <v>10564</v>
      </c>
      <c r="B6928" s="76" t="s">
        <v>10945</v>
      </c>
    </row>
    <row r="6929" spans="1:2" ht="15">
      <c r="A6929" s="77" t="s">
        <v>10565</v>
      </c>
      <c r="B6929" s="76" t="s">
        <v>10945</v>
      </c>
    </row>
    <row r="6930" spans="1:2" ht="15">
      <c r="A6930" s="77" t="s">
        <v>10566</v>
      </c>
      <c r="B6930" s="76" t="s">
        <v>10945</v>
      </c>
    </row>
    <row r="6931" spans="1:2" ht="15">
      <c r="A6931" s="77" t="s">
        <v>10567</v>
      </c>
      <c r="B6931" s="76" t="s">
        <v>10945</v>
      </c>
    </row>
    <row r="6932" spans="1:2" ht="15">
      <c r="A6932" s="77" t="s">
        <v>10568</v>
      </c>
      <c r="B6932" s="76" t="s">
        <v>10945</v>
      </c>
    </row>
    <row r="6933" spans="1:2" ht="15">
      <c r="A6933" s="77" t="s">
        <v>10569</v>
      </c>
      <c r="B6933" s="76" t="s">
        <v>10945</v>
      </c>
    </row>
    <row r="6934" spans="1:2" ht="15">
      <c r="A6934" s="77" t="s">
        <v>10570</v>
      </c>
      <c r="B6934" s="76" t="s">
        <v>10945</v>
      </c>
    </row>
    <row r="6935" spans="1:2" ht="15">
      <c r="A6935" s="77" t="s">
        <v>10571</v>
      </c>
      <c r="B6935" s="76" t="s">
        <v>10945</v>
      </c>
    </row>
    <row r="6936" spans="1:2" ht="15">
      <c r="A6936" s="77" t="s">
        <v>10572</v>
      </c>
      <c r="B6936" s="76" t="s">
        <v>10945</v>
      </c>
    </row>
    <row r="6937" spans="1:2" ht="15">
      <c r="A6937" s="77" t="s">
        <v>10573</v>
      </c>
      <c r="B6937" s="76" t="s">
        <v>10945</v>
      </c>
    </row>
    <row r="6938" spans="1:2" ht="15">
      <c r="A6938" s="77" t="s">
        <v>10574</v>
      </c>
      <c r="B6938" s="76" t="s">
        <v>10945</v>
      </c>
    </row>
    <row r="6939" spans="1:2" ht="15">
      <c r="A6939" s="77" t="s">
        <v>10575</v>
      </c>
      <c r="B6939" s="76" t="s">
        <v>10945</v>
      </c>
    </row>
    <row r="6940" spans="1:2" ht="15">
      <c r="A6940" s="77" t="s">
        <v>10576</v>
      </c>
      <c r="B6940" s="76" t="s">
        <v>10945</v>
      </c>
    </row>
    <row r="6941" spans="1:2" ht="15">
      <c r="A6941" s="77" t="s">
        <v>10577</v>
      </c>
      <c r="B6941" s="76" t="s">
        <v>10945</v>
      </c>
    </row>
    <row r="6942" spans="1:2" ht="15">
      <c r="A6942" s="77" t="s">
        <v>10578</v>
      </c>
      <c r="B6942" s="76" t="s">
        <v>10945</v>
      </c>
    </row>
    <row r="6943" spans="1:2" ht="15">
      <c r="A6943" s="77" t="s">
        <v>10579</v>
      </c>
      <c r="B6943" s="76" t="s">
        <v>10945</v>
      </c>
    </row>
    <row r="6944" spans="1:2" ht="15">
      <c r="A6944" s="77" t="s">
        <v>10580</v>
      </c>
      <c r="B6944" s="76" t="s">
        <v>10945</v>
      </c>
    </row>
    <row r="6945" spans="1:2" ht="15">
      <c r="A6945" s="77" t="s">
        <v>10581</v>
      </c>
      <c r="B6945" s="76" t="s">
        <v>10945</v>
      </c>
    </row>
    <row r="6946" spans="1:2" ht="15">
      <c r="A6946" s="77" t="s">
        <v>10582</v>
      </c>
      <c r="B6946" s="76" t="s">
        <v>10945</v>
      </c>
    </row>
    <row r="6947" spans="1:2" ht="15">
      <c r="A6947" s="77" t="s">
        <v>10583</v>
      </c>
      <c r="B6947" s="76" t="s">
        <v>10945</v>
      </c>
    </row>
    <row r="6948" spans="1:2" ht="15">
      <c r="A6948" s="77" t="s">
        <v>10584</v>
      </c>
      <c r="B6948" s="76" t="s">
        <v>10945</v>
      </c>
    </row>
    <row r="6949" spans="1:2" ht="15">
      <c r="A6949" s="77" t="s">
        <v>10585</v>
      </c>
      <c r="B6949" s="76" t="s">
        <v>10945</v>
      </c>
    </row>
    <row r="6950" spans="1:2" ht="15">
      <c r="A6950" s="77" t="s">
        <v>10586</v>
      </c>
      <c r="B6950" s="76" t="s">
        <v>10945</v>
      </c>
    </row>
    <row r="6951" spans="1:2" ht="15">
      <c r="A6951" s="77" t="s">
        <v>10587</v>
      </c>
      <c r="B6951" s="76" t="s">
        <v>10945</v>
      </c>
    </row>
    <row r="6952" spans="1:2" ht="15">
      <c r="A6952" s="77" t="s">
        <v>10588</v>
      </c>
      <c r="B6952" s="76" t="s">
        <v>10945</v>
      </c>
    </row>
    <row r="6953" spans="1:2" ht="15">
      <c r="A6953" s="77" t="s">
        <v>10589</v>
      </c>
      <c r="B6953" s="76" t="s">
        <v>10945</v>
      </c>
    </row>
    <row r="6954" spans="1:2" ht="15">
      <c r="A6954" s="77" t="s">
        <v>10590</v>
      </c>
      <c r="B6954" s="76" t="s">
        <v>10945</v>
      </c>
    </row>
    <row r="6955" spans="1:2" ht="15">
      <c r="A6955" s="77" t="s">
        <v>10591</v>
      </c>
      <c r="B6955" s="76" t="s">
        <v>10945</v>
      </c>
    </row>
    <row r="6956" spans="1:2" ht="15">
      <c r="A6956" s="77" t="s">
        <v>10592</v>
      </c>
      <c r="B6956" s="76" t="s">
        <v>10945</v>
      </c>
    </row>
    <row r="6957" spans="1:2" ht="15">
      <c r="A6957" s="77" t="s">
        <v>10593</v>
      </c>
      <c r="B6957" s="76" t="s">
        <v>10945</v>
      </c>
    </row>
    <row r="6958" spans="1:2" ht="15">
      <c r="A6958" s="77" t="s">
        <v>10594</v>
      </c>
      <c r="B6958" s="76" t="s">
        <v>10945</v>
      </c>
    </row>
    <row r="6959" spans="1:2" ht="15">
      <c r="A6959" s="77" t="s">
        <v>10595</v>
      </c>
      <c r="B6959" s="76" t="s">
        <v>10945</v>
      </c>
    </row>
    <row r="6960" spans="1:2" ht="15">
      <c r="A6960" s="77" t="s">
        <v>10596</v>
      </c>
      <c r="B6960" s="76" t="s">
        <v>10945</v>
      </c>
    </row>
    <row r="6961" spans="1:2" ht="15">
      <c r="A6961" s="77" t="s">
        <v>10597</v>
      </c>
      <c r="B6961" s="76" t="s">
        <v>10945</v>
      </c>
    </row>
    <row r="6962" spans="1:2" ht="15">
      <c r="A6962" s="77" t="s">
        <v>10598</v>
      </c>
      <c r="B6962" s="76" t="s">
        <v>10945</v>
      </c>
    </row>
    <row r="6963" spans="1:2" ht="15">
      <c r="A6963" s="77" t="s">
        <v>10599</v>
      </c>
      <c r="B6963" s="76" t="s">
        <v>10945</v>
      </c>
    </row>
    <row r="6964" spans="1:2" ht="15">
      <c r="A6964" s="77" t="s">
        <v>10600</v>
      </c>
      <c r="B6964" s="76" t="s">
        <v>10945</v>
      </c>
    </row>
    <row r="6965" spans="1:2" ht="15">
      <c r="A6965" s="77" t="s">
        <v>10601</v>
      </c>
      <c r="B6965" s="76" t="s">
        <v>10945</v>
      </c>
    </row>
    <row r="6966" spans="1:2" ht="15">
      <c r="A6966" s="77" t="s">
        <v>10602</v>
      </c>
      <c r="B6966" s="76" t="s">
        <v>10945</v>
      </c>
    </row>
    <row r="6967" spans="1:2" ht="15">
      <c r="A6967" s="77" t="s">
        <v>10603</v>
      </c>
      <c r="B6967" s="76" t="s">
        <v>10945</v>
      </c>
    </row>
    <row r="6968" spans="1:2" ht="15">
      <c r="A6968" s="77" t="s">
        <v>10604</v>
      </c>
      <c r="B6968" s="76" t="s">
        <v>10945</v>
      </c>
    </row>
    <row r="6969" spans="1:2" ht="15">
      <c r="A6969" s="77" t="s">
        <v>10605</v>
      </c>
      <c r="B6969" s="76" t="s">
        <v>10945</v>
      </c>
    </row>
    <row r="6970" spans="1:2" ht="15">
      <c r="A6970" s="77" t="s">
        <v>10606</v>
      </c>
      <c r="B6970" s="76" t="s">
        <v>10945</v>
      </c>
    </row>
    <row r="6971" spans="1:2" ht="15">
      <c r="A6971" s="77" t="s">
        <v>10607</v>
      </c>
      <c r="B6971" s="76" t="s">
        <v>10945</v>
      </c>
    </row>
    <row r="6972" spans="1:2" ht="15">
      <c r="A6972" s="77" t="s">
        <v>10608</v>
      </c>
      <c r="B6972" s="76" t="s">
        <v>10945</v>
      </c>
    </row>
    <row r="6973" spans="1:2" ht="15">
      <c r="A6973" s="77" t="s">
        <v>10609</v>
      </c>
      <c r="B6973" s="76" t="s">
        <v>10945</v>
      </c>
    </row>
    <row r="6974" spans="1:2" ht="15">
      <c r="A6974" s="77" t="s">
        <v>10610</v>
      </c>
      <c r="B6974" s="76" t="s">
        <v>10945</v>
      </c>
    </row>
    <row r="6975" spans="1:2" ht="15">
      <c r="A6975" s="77" t="s">
        <v>10611</v>
      </c>
      <c r="B6975" s="76" t="s">
        <v>10945</v>
      </c>
    </row>
    <row r="6976" spans="1:2" ht="15">
      <c r="A6976" s="77" t="s">
        <v>10612</v>
      </c>
      <c r="B6976" s="76" t="s">
        <v>10945</v>
      </c>
    </row>
    <row r="6977" spans="1:2" ht="15">
      <c r="A6977" s="77" t="s">
        <v>10613</v>
      </c>
      <c r="B6977" s="76" t="s">
        <v>10945</v>
      </c>
    </row>
    <row r="6978" spans="1:2" ht="15">
      <c r="A6978" s="77" t="s">
        <v>10614</v>
      </c>
      <c r="B6978" s="76" t="s">
        <v>10945</v>
      </c>
    </row>
    <row r="6979" spans="1:2" ht="15">
      <c r="A6979" s="77" t="s">
        <v>10615</v>
      </c>
      <c r="B6979" s="76" t="s">
        <v>10945</v>
      </c>
    </row>
    <row r="6980" spans="1:2" ht="15">
      <c r="A6980" s="77" t="s">
        <v>10616</v>
      </c>
      <c r="B6980" s="76" t="s">
        <v>10945</v>
      </c>
    </row>
    <row r="6981" spans="1:2" ht="15">
      <c r="A6981" s="77" t="s">
        <v>10617</v>
      </c>
      <c r="B6981" s="76" t="s">
        <v>10945</v>
      </c>
    </row>
    <row r="6982" spans="1:2" ht="15">
      <c r="A6982" s="77" t="s">
        <v>10618</v>
      </c>
      <c r="B6982" s="76" t="s">
        <v>10945</v>
      </c>
    </row>
    <row r="6983" spans="1:2" ht="15">
      <c r="A6983" s="77" t="s">
        <v>10619</v>
      </c>
      <c r="B6983" s="76" t="s">
        <v>10945</v>
      </c>
    </row>
    <row r="6984" spans="1:2" ht="15">
      <c r="A6984" s="77" t="s">
        <v>10620</v>
      </c>
      <c r="B6984" s="76" t="s">
        <v>10945</v>
      </c>
    </row>
    <row r="6985" spans="1:2" ht="15">
      <c r="A6985" s="77" t="s">
        <v>10621</v>
      </c>
      <c r="B6985" s="76" t="s">
        <v>10945</v>
      </c>
    </row>
    <row r="6986" spans="1:2" ht="15">
      <c r="A6986" s="77" t="s">
        <v>10622</v>
      </c>
      <c r="B6986" s="76" t="s">
        <v>10945</v>
      </c>
    </row>
    <row r="6987" spans="1:2" ht="15">
      <c r="A6987" s="77" t="s">
        <v>10623</v>
      </c>
      <c r="B6987" s="76" t="s">
        <v>10945</v>
      </c>
    </row>
    <row r="6988" spans="1:2" ht="15">
      <c r="A6988" s="77" t="s">
        <v>10624</v>
      </c>
      <c r="B6988" s="76" t="s">
        <v>10945</v>
      </c>
    </row>
    <row r="6989" spans="1:2" ht="15">
      <c r="A6989" s="77" t="s">
        <v>10625</v>
      </c>
      <c r="B6989" s="76" t="s">
        <v>10945</v>
      </c>
    </row>
    <row r="6990" spans="1:2" ht="15">
      <c r="A6990" s="77" t="s">
        <v>10626</v>
      </c>
      <c r="B6990" s="76" t="s">
        <v>10945</v>
      </c>
    </row>
    <row r="6991" spans="1:2" ht="15">
      <c r="A6991" s="77" t="s">
        <v>10627</v>
      </c>
      <c r="B6991" s="76" t="s">
        <v>10945</v>
      </c>
    </row>
    <row r="6992" spans="1:2" ht="15">
      <c r="A6992" s="77" t="s">
        <v>10628</v>
      </c>
      <c r="B6992" s="76" t="s">
        <v>10945</v>
      </c>
    </row>
    <row r="6993" spans="1:2" ht="15">
      <c r="A6993" s="77" t="s">
        <v>10629</v>
      </c>
      <c r="B6993" s="76" t="s">
        <v>10945</v>
      </c>
    </row>
    <row r="6994" spans="1:2" ht="15">
      <c r="A6994" s="77" t="s">
        <v>10630</v>
      </c>
      <c r="B6994" s="76" t="s">
        <v>10945</v>
      </c>
    </row>
    <row r="6995" spans="1:2" ht="15">
      <c r="A6995" s="77" t="s">
        <v>10631</v>
      </c>
      <c r="B6995" s="76" t="s">
        <v>10945</v>
      </c>
    </row>
    <row r="6996" spans="1:2" ht="15">
      <c r="A6996" s="77" t="s">
        <v>10632</v>
      </c>
      <c r="B6996" s="76" t="s">
        <v>10945</v>
      </c>
    </row>
    <row r="6997" spans="1:2" ht="15">
      <c r="A6997" s="77" t="s">
        <v>10633</v>
      </c>
      <c r="B6997" s="76" t="s">
        <v>10945</v>
      </c>
    </row>
    <row r="6998" spans="1:2" ht="15">
      <c r="A6998" s="77" t="s">
        <v>10634</v>
      </c>
      <c r="B6998" s="76" t="s">
        <v>10945</v>
      </c>
    </row>
    <row r="6999" spans="1:2" ht="15">
      <c r="A6999" s="77" t="s">
        <v>10635</v>
      </c>
      <c r="B6999" s="76" t="s">
        <v>10945</v>
      </c>
    </row>
    <row r="7000" spans="1:2" ht="15">
      <c r="A7000" s="77" t="s">
        <v>10636</v>
      </c>
      <c r="B7000" s="76" t="s">
        <v>10945</v>
      </c>
    </row>
    <row r="7001" spans="1:2" ht="15">
      <c r="A7001" s="77" t="s">
        <v>10637</v>
      </c>
      <c r="B7001" s="76" t="s">
        <v>10945</v>
      </c>
    </row>
    <row r="7002" spans="1:2" ht="15">
      <c r="A7002" s="77" t="s">
        <v>10638</v>
      </c>
      <c r="B7002" s="76" t="s">
        <v>10945</v>
      </c>
    </row>
    <row r="7003" spans="1:2" ht="15">
      <c r="A7003" s="77" t="s">
        <v>10639</v>
      </c>
      <c r="B7003" s="76" t="s">
        <v>10945</v>
      </c>
    </row>
    <row r="7004" spans="1:2" ht="15">
      <c r="A7004" s="77" t="s">
        <v>10640</v>
      </c>
      <c r="B7004" s="76" t="s">
        <v>10945</v>
      </c>
    </row>
    <row r="7005" spans="1:2" ht="15">
      <c r="A7005" s="77" t="s">
        <v>10641</v>
      </c>
      <c r="B7005" s="76" t="s">
        <v>10945</v>
      </c>
    </row>
    <row r="7006" spans="1:2" ht="15">
      <c r="A7006" s="77" t="s">
        <v>3735</v>
      </c>
      <c r="B7006" s="76" t="s">
        <v>10945</v>
      </c>
    </row>
    <row r="7007" spans="1:2" ht="15">
      <c r="A7007" s="77" t="s">
        <v>10642</v>
      </c>
      <c r="B7007" s="76" t="s">
        <v>10945</v>
      </c>
    </row>
    <row r="7008" spans="1:2" ht="15">
      <c r="A7008" s="77" t="s">
        <v>10643</v>
      </c>
      <c r="B7008" s="76" t="s">
        <v>10945</v>
      </c>
    </row>
    <row r="7009" spans="1:2" ht="15">
      <c r="A7009" s="77" t="s">
        <v>10644</v>
      </c>
      <c r="B7009" s="76" t="s">
        <v>10945</v>
      </c>
    </row>
    <row r="7010" spans="1:2" ht="15">
      <c r="A7010" s="77" t="s">
        <v>10645</v>
      </c>
      <c r="B7010" s="76" t="s">
        <v>10945</v>
      </c>
    </row>
    <row r="7011" spans="1:2" ht="15">
      <c r="A7011" s="77" t="s">
        <v>10646</v>
      </c>
      <c r="B7011" s="76" t="s">
        <v>10945</v>
      </c>
    </row>
    <row r="7012" spans="1:2" ht="15">
      <c r="A7012" s="77" t="s">
        <v>10647</v>
      </c>
      <c r="B7012" s="76" t="s">
        <v>10945</v>
      </c>
    </row>
    <row r="7013" spans="1:2" ht="15">
      <c r="A7013" s="77" t="s">
        <v>10648</v>
      </c>
      <c r="B7013" s="76" t="s">
        <v>10945</v>
      </c>
    </row>
    <row r="7014" spans="1:2" ht="15">
      <c r="A7014" s="77" t="s">
        <v>10649</v>
      </c>
      <c r="B7014" s="76" t="s">
        <v>10945</v>
      </c>
    </row>
    <row r="7015" spans="1:2" ht="15">
      <c r="A7015" s="77" t="s">
        <v>10650</v>
      </c>
      <c r="B7015" s="76" t="s">
        <v>10945</v>
      </c>
    </row>
    <row r="7016" spans="1:2" ht="15">
      <c r="A7016" s="77" t="s">
        <v>10651</v>
      </c>
      <c r="B7016" s="76" t="s">
        <v>10945</v>
      </c>
    </row>
    <row r="7017" spans="1:2" ht="15">
      <c r="A7017" s="77" t="s">
        <v>10652</v>
      </c>
      <c r="B7017" s="76" t="s">
        <v>10945</v>
      </c>
    </row>
    <row r="7018" spans="1:2" ht="15">
      <c r="A7018" s="77" t="s">
        <v>10653</v>
      </c>
      <c r="B7018" s="76" t="s">
        <v>10945</v>
      </c>
    </row>
    <row r="7019" spans="1:2" ht="15">
      <c r="A7019" s="77" t="s">
        <v>10654</v>
      </c>
      <c r="B7019" s="76" t="s">
        <v>10945</v>
      </c>
    </row>
    <row r="7020" spans="1:2" ht="15">
      <c r="A7020" s="77" t="s">
        <v>10655</v>
      </c>
      <c r="B7020" s="76" t="s">
        <v>10945</v>
      </c>
    </row>
    <row r="7021" spans="1:2" ht="15">
      <c r="A7021" s="77" t="s">
        <v>10656</v>
      </c>
      <c r="B7021" s="76" t="s">
        <v>10945</v>
      </c>
    </row>
    <row r="7022" spans="1:2" ht="15">
      <c r="A7022" s="77" t="s">
        <v>10657</v>
      </c>
      <c r="B7022" s="76" t="s">
        <v>10945</v>
      </c>
    </row>
    <row r="7023" spans="1:2" ht="15">
      <c r="A7023" s="77" t="s">
        <v>10658</v>
      </c>
      <c r="B7023" s="76" t="s">
        <v>10945</v>
      </c>
    </row>
    <row r="7024" spans="1:2" ht="15">
      <c r="A7024" s="77" t="s">
        <v>10659</v>
      </c>
      <c r="B7024" s="76" t="s">
        <v>10945</v>
      </c>
    </row>
    <row r="7025" spans="1:2" ht="15">
      <c r="A7025" s="77" t="s">
        <v>10660</v>
      </c>
      <c r="B7025" s="76" t="s">
        <v>10945</v>
      </c>
    </row>
    <row r="7026" spans="1:2" ht="15">
      <c r="A7026" s="77" t="s">
        <v>10661</v>
      </c>
      <c r="B7026" s="76" t="s">
        <v>10945</v>
      </c>
    </row>
    <row r="7027" spans="1:2" ht="15">
      <c r="A7027" s="77" t="s">
        <v>10662</v>
      </c>
      <c r="B7027" s="76" t="s">
        <v>10945</v>
      </c>
    </row>
    <row r="7028" spans="1:2" ht="15">
      <c r="A7028" s="77" t="s">
        <v>10663</v>
      </c>
      <c r="B7028" s="76" t="s">
        <v>10945</v>
      </c>
    </row>
    <row r="7029" spans="1:2" ht="15">
      <c r="A7029" s="77" t="s">
        <v>10664</v>
      </c>
      <c r="B7029" s="76" t="s">
        <v>10945</v>
      </c>
    </row>
    <row r="7030" spans="1:2" ht="15">
      <c r="A7030" s="77" t="s">
        <v>10665</v>
      </c>
      <c r="B7030" s="76" t="s">
        <v>10945</v>
      </c>
    </row>
    <row r="7031" spans="1:2" ht="15">
      <c r="A7031" s="77" t="s">
        <v>10666</v>
      </c>
      <c r="B7031" s="76" t="s">
        <v>10945</v>
      </c>
    </row>
    <row r="7032" spans="1:2" ht="15">
      <c r="A7032" s="77" t="s">
        <v>10667</v>
      </c>
      <c r="B7032" s="76" t="s">
        <v>10945</v>
      </c>
    </row>
    <row r="7033" spans="1:2" ht="15">
      <c r="A7033" s="77" t="s">
        <v>10668</v>
      </c>
      <c r="B7033" s="76" t="s">
        <v>10945</v>
      </c>
    </row>
    <row r="7034" spans="1:2" ht="15">
      <c r="A7034" s="77" t="s">
        <v>10669</v>
      </c>
      <c r="B7034" s="76" t="s">
        <v>10945</v>
      </c>
    </row>
    <row r="7035" spans="1:2" ht="15">
      <c r="A7035" s="77" t="s">
        <v>10670</v>
      </c>
      <c r="B7035" s="76" t="s">
        <v>10945</v>
      </c>
    </row>
    <row r="7036" spans="1:2" ht="15">
      <c r="A7036" s="77" t="s">
        <v>10671</v>
      </c>
      <c r="B7036" s="76" t="s">
        <v>10945</v>
      </c>
    </row>
    <row r="7037" spans="1:2" ht="15">
      <c r="A7037" s="77" t="s">
        <v>10672</v>
      </c>
      <c r="B7037" s="76" t="s">
        <v>10945</v>
      </c>
    </row>
    <row r="7038" spans="1:2" ht="15">
      <c r="A7038" s="77" t="s">
        <v>10673</v>
      </c>
      <c r="B7038" s="76" t="s">
        <v>10945</v>
      </c>
    </row>
    <row r="7039" spans="1:2" ht="15">
      <c r="A7039" s="77" t="s">
        <v>10674</v>
      </c>
      <c r="B7039" s="76" t="s">
        <v>10945</v>
      </c>
    </row>
    <row r="7040" spans="1:2" ht="15">
      <c r="A7040" s="77" t="s">
        <v>10675</v>
      </c>
      <c r="B7040" s="76" t="s">
        <v>10945</v>
      </c>
    </row>
    <row r="7041" spans="1:2" ht="15">
      <c r="A7041" s="77" t="s">
        <v>10676</v>
      </c>
      <c r="B7041" s="76" t="s">
        <v>10945</v>
      </c>
    </row>
    <row r="7042" spans="1:2" ht="15">
      <c r="A7042" s="77" t="s">
        <v>10677</v>
      </c>
      <c r="B7042" s="76" t="s">
        <v>10945</v>
      </c>
    </row>
    <row r="7043" spans="1:2" ht="15">
      <c r="A7043" s="77" t="s">
        <v>10678</v>
      </c>
      <c r="B7043" s="76" t="s">
        <v>10945</v>
      </c>
    </row>
    <row r="7044" spans="1:2" ht="15">
      <c r="A7044" s="77" t="s">
        <v>10679</v>
      </c>
      <c r="B7044" s="76" t="s">
        <v>10945</v>
      </c>
    </row>
    <row r="7045" spans="1:2" ht="15">
      <c r="A7045" s="77" t="s">
        <v>10680</v>
      </c>
      <c r="B7045" s="76" t="s">
        <v>10945</v>
      </c>
    </row>
    <row r="7046" spans="1:2" ht="15">
      <c r="A7046" s="77" t="s">
        <v>10681</v>
      </c>
      <c r="B7046" s="76" t="s">
        <v>10945</v>
      </c>
    </row>
    <row r="7047" spans="1:2" ht="15">
      <c r="A7047" s="77" t="s">
        <v>10682</v>
      </c>
      <c r="B7047" s="76" t="s">
        <v>10945</v>
      </c>
    </row>
    <row r="7048" spans="1:2" ht="15">
      <c r="A7048" s="77" t="s">
        <v>10683</v>
      </c>
      <c r="B7048" s="76" t="s">
        <v>10945</v>
      </c>
    </row>
    <row r="7049" spans="1:2" ht="15">
      <c r="A7049" s="77" t="s">
        <v>10684</v>
      </c>
      <c r="B7049" s="76" t="s">
        <v>10945</v>
      </c>
    </row>
    <row r="7050" spans="1:2" ht="15">
      <c r="A7050" s="77" t="s">
        <v>10685</v>
      </c>
      <c r="B7050" s="76" t="s">
        <v>10945</v>
      </c>
    </row>
    <row r="7051" spans="1:2" ht="15">
      <c r="A7051" s="77" t="s">
        <v>10686</v>
      </c>
      <c r="B7051" s="76" t="s">
        <v>10945</v>
      </c>
    </row>
    <row r="7052" spans="1:2" ht="15">
      <c r="A7052" s="77" t="s">
        <v>10687</v>
      </c>
      <c r="B7052" s="76" t="s">
        <v>10945</v>
      </c>
    </row>
    <row r="7053" spans="1:2" ht="15">
      <c r="A7053" s="77" t="s">
        <v>10688</v>
      </c>
      <c r="B7053" s="76" t="s">
        <v>10945</v>
      </c>
    </row>
    <row r="7054" spans="1:2" ht="15">
      <c r="A7054" s="77" t="s">
        <v>10689</v>
      </c>
      <c r="B7054" s="76" t="s">
        <v>10945</v>
      </c>
    </row>
    <row r="7055" spans="1:2" ht="15">
      <c r="A7055" s="77" t="s">
        <v>10690</v>
      </c>
      <c r="B7055" s="76" t="s">
        <v>10945</v>
      </c>
    </row>
    <row r="7056" spans="1:2" ht="15">
      <c r="A7056" s="77" t="s">
        <v>10691</v>
      </c>
      <c r="B7056" s="76" t="s">
        <v>10945</v>
      </c>
    </row>
    <row r="7057" spans="1:2" ht="15">
      <c r="A7057" s="77" t="s">
        <v>10692</v>
      </c>
      <c r="B7057" s="76" t="s">
        <v>10945</v>
      </c>
    </row>
    <row r="7058" spans="1:2" ht="15">
      <c r="A7058" s="77" t="s">
        <v>10693</v>
      </c>
      <c r="B7058" s="76" t="s">
        <v>10945</v>
      </c>
    </row>
    <row r="7059" spans="1:2" ht="15">
      <c r="A7059" s="77" t="s">
        <v>10694</v>
      </c>
      <c r="B7059" s="76" t="s">
        <v>10945</v>
      </c>
    </row>
    <row r="7060" spans="1:2" ht="15">
      <c r="A7060" s="77" t="s">
        <v>10695</v>
      </c>
      <c r="B7060" s="76" t="s">
        <v>10945</v>
      </c>
    </row>
    <row r="7061" spans="1:2" ht="15">
      <c r="A7061" s="77" t="s">
        <v>10696</v>
      </c>
      <c r="B7061" s="76" t="s">
        <v>10945</v>
      </c>
    </row>
    <row r="7062" spans="1:2" ht="15">
      <c r="A7062" s="77" t="s">
        <v>10697</v>
      </c>
      <c r="B7062" s="76" t="s">
        <v>10945</v>
      </c>
    </row>
    <row r="7063" spans="1:2" ht="15">
      <c r="A7063" s="77" t="s">
        <v>10698</v>
      </c>
      <c r="B7063" s="76" t="s">
        <v>10945</v>
      </c>
    </row>
    <row r="7064" spans="1:2" ht="15">
      <c r="A7064" s="77" t="s">
        <v>10699</v>
      </c>
      <c r="B7064" s="76" t="s">
        <v>10945</v>
      </c>
    </row>
    <row r="7065" spans="1:2" ht="15">
      <c r="A7065" s="77" t="s">
        <v>10700</v>
      </c>
      <c r="B7065" s="76" t="s">
        <v>10945</v>
      </c>
    </row>
    <row r="7066" spans="1:2" ht="15">
      <c r="A7066" s="77" t="s">
        <v>10701</v>
      </c>
      <c r="B7066" s="76" t="s">
        <v>10945</v>
      </c>
    </row>
    <row r="7067" spans="1:2" ht="15">
      <c r="A7067" s="77" t="s">
        <v>10702</v>
      </c>
      <c r="B7067" s="76" t="s">
        <v>10945</v>
      </c>
    </row>
    <row r="7068" spans="1:2" ht="15">
      <c r="A7068" s="77" t="s">
        <v>10703</v>
      </c>
      <c r="B7068" s="76" t="s">
        <v>10945</v>
      </c>
    </row>
    <row r="7069" spans="1:2" ht="15">
      <c r="A7069" s="77" t="s">
        <v>10704</v>
      </c>
      <c r="B7069" s="76" t="s">
        <v>10945</v>
      </c>
    </row>
    <row r="7070" spans="1:2" ht="15">
      <c r="A7070" s="77" t="s">
        <v>10705</v>
      </c>
      <c r="B7070" s="76" t="s">
        <v>10945</v>
      </c>
    </row>
    <row r="7071" spans="1:2" ht="15">
      <c r="A7071" s="77" t="s">
        <v>10706</v>
      </c>
      <c r="B7071" s="76" t="s">
        <v>10945</v>
      </c>
    </row>
    <row r="7072" spans="1:2" ht="15">
      <c r="A7072" s="77" t="s">
        <v>10707</v>
      </c>
      <c r="B7072" s="76" t="s">
        <v>10945</v>
      </c>
    </row>
    <row r="7073" spans="1:2" ht="15">
      <c r="A7073" s="77" t="s">
        <v>10708</v>
      </c>
      <c r="B7073" s="76" t="s">
        <v>10945</v>
      </c>
    </row>
    <row r="7074" spans="1:2" ht="15">
      <c r="A7074" s="77" t="s">
        <v>10709</v>
      </c>
      <c r="B7074" s="76" t="s">
        <v>10945</v>
      </c>
    </row>
    <row r="7075" spans="1:2" ht="15">
      <c r="A7075" s="77" t="s">
        <v>10710</v>
      </c>
      <c r="B7075" s="76" t="s">
        <v>10945</v>
      </c>
    </row>
    <row r="7076" spans="1:2" ht="15">
      <c r="A7076" s="77" t="s">
        <v>10711</v>
      </c>
      <c r="B7076" s="76" t="s">
        <v>10945</v>
      </c>
    </row>
    <row r="7077" spans="1:2" ht="15">
      <c r="A7077" s="77" t="s">
        <v>10712</v>
      </c>
      <c r="B7077" s="76" t="s">
        <v>10945</v>
      </c>
    </row>
    <row r="7078" spans="1:2" ht="15">
      <c r="A7078" s="77" t="s">
        <v>10713</v>
      </c>
      <c r="B7078" s="76" t="s">
        <v>10945</v>
      </c>
    </row>
    <row r="7079" spans="1:2" ht="15">
      <c r="A7079" s="77" t="s">
        <v>10714</v>
      </c>
      <c r="B7079" s="76" t="s">
        <v>10945</v>
      </c>
    </row>
    <row r="7080" spans="1:2" ht="15">
      <c r="A7080" s="77" t="s">
        <v>10715</v>
      </c>
      <c r="B7080" s="76" t="s">
        <v>10945</v>
      </c>
    </row>
    <row r="7081" spans="1:2" ht="15">
      <c r="A7081" s="77" t="s">
        <v>10716</v>
      </c>
      <c r="B7081" s="76" t="s">
        <v>10945</v>
      </c>
    </row>
    <row r="7082" spans="1:2" ht="15">
      <c r="A7082" s="77" t="s">
        <v>10717</v>
      </c>
      <c r="B7082" s="76" t="s">
        <v>10945</v>
      </c>
    </row>
    <row r="7083" spans="1:2" ht="15">
      <c r="A7083" s="77" t="s">
        <v>10718</v>
      </c>
      <c r="B7083" s="76" t="s">
        <v>10945</v>
      </c>
    </row>
    <row r="7084" spans="1:2" ht="15">
      <c r="A7084" s="77" t="s">
        <v>10719</v>
      </c>
      <c r="B7084" s="76" t="s">
        <v>10945</v>
      </c>
    </row>
    <row r="7085" spans="1:2" ht="15">
      <c r="A7085" s="77" t="s">
        <v>3657</v>
      </c>
      <c r="B7085" s="76" t="s">
        <v>10945</v>
      </c>
    </row>
    <row r="7086" spans="1:2" ht="15">
      <c r="A7086" s="77" t="s">
        <v>10720</v>
      </c>
      <c r="B7086" s="76" t="s">
        <v>10945</v>
      </c>
    </row>
    <row r="7087" spans="1:2" ht="15">
      <c r="A7087" s="77" t="s">
        <v>10721</v>
      </c>
      <c r="B7087" s="76" t="s">
        <v>10945</v>
      </c>
    </row>
    <row r="7088" spans="1:2" ht="15">
      <c r="A7088" s="77" t="s">
        <v>10722</v>
      </c>
      <c r="B7088" s="76" t="s">
        <v>10945</v>
      </c>
    </row>
    <row r="7089" spans="1:2" ht="15">
      <c r="A7089" s="77" t="s">
        <v>10723</v>
      </c>
      <c r="B7089" s="76" t="s">
        <v>10945</v>
      </c>
    </row>
    <row r="7090" spans="1:2" ht="15">
      <c r="A7090" s="77" t="s">
        <v>10724</v>
      </c>
      <c r="B7090" s="76" t="s">
        <v>10945</v>
      </c>
    </row>
    <row r="7091" spans="1:2" ht="15">
      <c r="A7091" s="77" t="s">
        <v>10725</v>
      </c>
      <c r="B7091" s="76" t="s">
        <v>10945</v>
      </c>
    </row>
    <row r="7092" spans="1:2" ht="15">
      <c r="A7092" s="77" t="s">
        <v>10726</v>
      </c>
      <c r="B7092" s="76" t="s">
        <v>10945</v>
      </c>
    </row>
    <row r="7093" spans="1:2" ht="15">
      <c r="A7093" s="77" t="s">
        <v>10727</v>
      </c>
      <c r="B7093" s="76" t="s">
        <v>10945</v>
      </c>
    </row>
    <row r="7094" spans="1:2" ht="15">
      <c r="A7094" s="77" t="s">
        <v>10728</v>
      </c>
      <c r="B7094" s="76" t="s">
        <v>10945</v>
      </c>
    </row>
    <row r="7095" spans="1:2" ht="15">
      <c r="A7095" s="77" t="s">
        <v>10729</v>
      </c>
      <c r="B7095" s="76" t="s">
        <v>10945</v>
      </c>
    </row>
    <row r="7096" spans="1:2" ht="15">
      <c r="A7096" s="77" t="s">
        <v>10730</v>
      </c>
      <c r="B7096" s="76" t="s">
        <v>10945</v>
      </c>
    </row>
    <row r="7097" spans="1:2" ht="15">
      <c r="A7097" s="77" t="s">
        <v>10731</v>
      </c>
      <c r="B7097" s="76" t="s">
        <v>10945</v>
      </c>
    </row>
    <row r="7098" spans="1:2" ht="15">
      <c r="A7098" s="77" t="s">
        <v>10732</v>
      </c>
      <c r="B7098" s="76" t="s">
        <v>10945</v>
      </c>
    </row>
    <row r="7099" spans="1:2" ht="15">
      <c r="A7099" s="77" t="s">
        <v>10733</v>
      </c>
      <c r="B7099" s="76" t="s">
        <v>10945</v>
      </c>
    </row>
    <row r="7100" spans="1:2" ht="15">
      <c r="A7100" s="77" t="s">
        <v>10734</v>
      </c>
      <c r="B7100" s="76" t="s">
        <v>10945</v>
      </c>
    </row>
    <row r="7101" spans="1:2" ht="15">
      <c r="A7101" s="77" t="s">
        <v>10735</v>
      </c>
      <c r="B7101" s="76" t="s">
        <v>10945</v>
      </c>
    </row>
    <row r="7102" spans="1:2" ht="15">
      <c r="A7102" s="77" t="s">
        <v>10736</v>
      </c>
      <c r="B7102" s="76" t="s">
        <v>10945</v>
      </c>
    </row>
    <row r="7103" spans="1:2" ht="15">
      <c r="A7103" s="77" t="s">
        <v>10737</v>
      </c>
      <c r="B7103" s="76" t="s">
        <v>10945</v>
      </c>
    </row>
    <row r="7104" spans="1:2" ht="15">
      <c r="A7104" s="77" t="s">
        <v>10738</v>
      </c>
      <c r="B7104" s="76" t="s">
        <v>10945</v>
      </c>
    </row>
    <row r="7105" spans="1:2" ht="15">
      <c r="A7105" s="77" t="s">
        <v>10739</v>
      </c>
      <c r="B7105" s="76" t="s">
        <v>10945</v>
      </c>
    </row>
    <row r="7106" spans="1:2" ht="15">
      <c r="A7106" s="77" t="s">
        <v>10740</v>
      </c>
      <c r="B7106" s="76" t="s">
        <v>10945</v>
      </c>
    </row>
    <row r="7107" spans="1:2" ht="15">
      <c r="A7107" s="77" t="s">
        <v>10741</v>
      </c>
      <c r="B7107" s="76" t="s">
        <v>10945</v>
      </c>
    </row>
    <row r="7108" spans="1:2" ht="15">
      <c r="A7108" s="77" t="s">
        <v>10742</v>
      </c>
      <c r="B7108" s="76" t="s">
        <v>10945</v>
      </c>
    </row>
    <row r="7109" spans="1:2" ht="15">
      <c r="A7109" s="77" t="s">
        <v>10743</v>
      </c>
      <c r="B7109" s="76" t="s">
        <v>10945</v>
      </c>
    </row>
    <row r="7110" spans="1:2" ht="15">
      <c r="A7110" s="77" t="s">
        <v>10744</v>
      </c>
      <c r="B7110" s="76" t="s">
        <v>10945</v>
      </c>
    </row>
    <row r="7111" spans="1:2" ht="15">
      <c r="A7111" s="77" t="s">
        <v>10745</v>
      </c>
      <c r="B7111" s="76" t="s">
        <v>10945</v>
      </c>
    </row>
    <row r="7112" spans="1:2" ht="15">
      <c r="A7112" s="77" t="s">
        <v>10746</v>
      </c>
      <c r="B7112" s="76" t="s">
        <v>10945</v>
      </c>
    </row>
    <row r="7113" spans="1:2" ht="15">
      <c r="A7113" s="77" t="s">
        <v>10747</v>
      </c>
      <c r="B7113" s="76" t="s">
        <v>10945</v>
      </c>
    </row>
    <row r="7114" spans="1:2" ht="15">
      <c r="A7114" s="77" t="s">
        <v>10748</v>
      </c>
      <c r="B7114" s="76" t="s">
        <v>10945</v>
      </c>
    </row>
    <row r="7115" spans="1:2" ht="15">
      <c r="A7115" s="77" t="s">
        <v>10749</v>
      </c>
      <c r="B7115" s="76" t="s">
        <v>10945</v>
      </c>
    </row>
    <row r="7116" spans="1:2" ht="15">
      <c r="A7116" s="77" t="s">
        <v>10750</v>
      </c>
      <c r="B7116" s="76" t="s">
        <v>10945</v>
      </c>
    </row>
    <row r="7117" spans="1:2" ht="15">
      <c r="A7117" s="77" t="s">
        <v>10751</v>
      </c>
      <c r="B7117" s="76" t="s">
        <v>10945</v>
      </c>
    </row>
    <row r="7118" spans="1:2" ht="15">
      <c r="A7118" s="77" t="s">
        <v>10752</v>
      </c>
      <c r="B7118" s="76" t="s">
        <v>10945</v>
      </c>
    </row>
    <row r="7119" spans="1:2" ht="15">
      <c r="A7119" s="77" t="s">
        <v>10753</v>
      </c>
      <c r="B7119" s="76" t="s">
        <v>10945</v>
      </c>
    </row>
    <row r="7120" spans="1:2" ht="15">
      <c r="A7120" s="77" t="s">
        <v>10754</v>
      </c>
      <c r="B7120" s="76" t="s">
        <v>10945</v>
      </c>
    </row>
    <row r="7121" spans="1:2" ht="15">
      <c r="A7121" s="77" t="s">
        <v>10755</v>
      </c>
      <c r="B7121" s="76" t="s">
        <v>10945</v>
      </c>
    </row>
    <row r="7122" spans="1:2" ht="15">
      <c r="A7122" s="77" t="s">
        <v>10756</v>
      </c>
      <c r="B7122" s="76" t="s">
        <v>10945</v>
      </c>
    </row>
    <row r="7123" spans="1:2" ht="15">
      <c r="A7123" s="77" t="s">
        <v>10757</v>
      </c>
      <c r="B7123" s="76" t="s">
        <v>10945</v>
      </c>
    </row>
    <row r="7124" spans="1:2" ht="15">
      <c r="A7124" s="77" t="s">
        <v>10758</v>
      </c>
      <c r="B7124" s="76" t="s">
        <v>10945</v>
      </c>
    </row>
    <row r="7125" spans="1:2" ht="15">
      <c r="A7125" s="77" t="s">
        <v>10759</v>
      </c>
      <c r="B7125" s="76" t="s">
        <v>10945</v>
      </c>
    </row>
    <row r="7126" spans="1:2" ht="15">
      <c r="A7126" s="77" t="s">
        <v>10760</v>
      </c>
      <c r="B7126" s="76" t="s">
        <v>10945</v>
      </c>
    </row>
    <row r="7127" spans="1:2" ht="15">
      <c r="A7127" s="77" t="s">
        <v>10761</v>
      </c>
      <c r="B7127" s="76" t="s">
        <v>10945</v>
      </c>
    </row>
    <row r="7128" spans="1:2" ht="15">
      <c r="A7128" s="77" t="s">
        <v>10762</v>
      </c>
      <c r="B7128" s="76" t="s">
        <v>10945</v>
      </c>
    </row>
    <row r="7129" spans="1:2" ht="15">
      <c r="A7129" s="77" t="s">
        <v>10763</v>
      </c>
      <c r="B7129" s="76" t="s">
        <v>10945</v>
      </c>
    </row>
    <row r="7130" spans="1:2" ht="15">
      <c r="A7130" s="77" t="s">
        <v>10764</v>
      </c>
      <c r="B7130" s="76" t="s">
        <v>10945</v>
      </c>
    </row>
    <row r="7131" spans="1:2" ht="15">
      <c r="A7131" s="77" t="s">
        <v>10765</v>
      </c>
      <c r="B7131" s="76" t="s">
        <v>10945</v>
      </c>
    </row>
    <row r="7132" spans="1:2" ht="15">
      <c r="A7132" s="77" t="s">
        <v>10766</v>
      </c>
      <c r="B7132" s="76" t="s">
        <v>10945</v>
      </c>
    </row>
    <row r="7133" spans="1:2" ht="15">
      <c r="A7133" s="77" t="s">
        <v>10767</v>
      </c>
      <c r="B7133" s="76" t="s">
        <v>10945</v>
      </c>
    </row>
    <row r="7134" spans="1:2" ht="15">
      <c r="A7134" s="77" t="s">
        <v>10768</v>
      </c>
      <c r="B7134" s="76" t="s">
        <v>10945</v>
      </c>
    </row>
    <row r="7135" spans="1:2" ht="15">
      <c r="A7135" s="77" t="s">
        <v>10769</v>
      </c>
      <c r="B7135" s="76" t="s">
        <v>10945</v>
      </c>
    </row>
    <row r="7136" spans="1:2" ht="15">
      <c r="A7136" s="77" t="s">
        <v>10770</v>
      </c>
      <c r="B7136" s="76" t="s">
        <v>10945</v>
      </c>
    </row>
    <row r="7137" spans="1:2" ht="15">
      <c r="A7137" s="77" t="s">
        <v>10771</v>
      </c>
      <c r="B7137" s="76" t="s">
        <v>10945</v>
      </c>
    </row>
    <row r="7138" spans="1:2" ht="15">
      <c r="A7138" s="77" t="s">
        <v>10772</v>
      </c>
      <c r="B7138" s="76" t="s">
        <v>10945</v>
      </c>
    </row>
    <row r="7139" spans="1:2" ht="15">
      <c r="A7139" s="77" t="s">
        <v>10773</v>
      </c>
      <c r="B7139" s="76" t="s">
        <v>10945</v>
      </c>
    </row>
    <row r="7140" spans="1:2" ht="15">
      <c r="A7140" s="77" t="s">
        <v>10774</v>
      </c>
      <c r="B7140" s="76" t="s">
        <v>10945</v>
      </c>
    </row>
    <row r="7141" spans="1:2" ht="15">
      <c r="A7141" s="77" t="s">
        <v>10775</v>
      </c>
      <c r="B7141" s="76" t="s">
        <v>10945</v>
      </c>
    </row>
    <row r="7142" spans="1:2" ht="15">
      <c r="A7142" s="77" t="s">
        <v>10776</v>
      </c>
      <c r="B7142" s="76" t="s">
        <v>10945</v>
      </c>
    </row>
    <row r="7143" spans="1:2" ht="15">
      <c r="A7143" s="77" t="s">
        <v>10777</v>
      </c>
      <c r="B7143" s="76" t="s">
        <v>10945</v>
      </c>
    </row>
    <row r="7144" spans="1:2" ht="15">
      <c r="A7144" s="77" t="s">
        <v>10778</v>
      </c>
      <c r="B7144" s="76" t="s">
        <v>10945</v>
      </c>
    </row>
    <row r="7145" spans="1:2" ht="15">
      <c r="A7145" s="77" t="s">
        <v>10779</v>
      </c>
      <c r="B7145" s="76" t="s">
        <v>10945</v>
      </c>
    </row>
    <row r="7146" spans="1:2" ht="15">
      <c r="A7146" s="77" t="s">
        <v>10780</v>
      </c>
      <c r="B7146" s="76" t="s">
        <v>10945</v>
      </c>
    </row>
    <row r="7147" spans="1:2" ht="15">
      <c r="A7147" s="77" t="s">
        <v>10781</v>
      </c>
      <c r="B7147" s="76" t="s">
        <v>10945</v>
      </c>
    </row>
    <row r="7148" spans="1:2" ht="15">
      <c r="A7148" s="77" t="s">
        <v>10782</v>
      </c>
      <c r="B7148" s="76" t="s">
        <v>10945</v>
      </c>
    </row>
    <row r="7149" spans="1:2" ht="15">
      <c r="A7149" s="77" t="s">
        <v>10783</v>
      </c>
      <c r="B7149" s="76" t="s">
        <v>10945</v>
      </c>
    </row>
    <row r="7150" spans="1:2" ht="15">
      <c r="A7150" s="77" t="s">
        <v>10784</v>
      </c>
      <c r="B7150" s="76" t="s">
        <v>10945</v>
      </c>
    </row>
    <row r="7151" spans="1:2" ht="15">
      <c r="A7151" s="77" t="s">
        <v>10785</v>
      </c>
      <c r="B7151" s="76" t="s">
        <v>10945</v>
      </c>
    </row>
    <row r="7152" spans="1:2" ht="15">
      <c r="A7152" s="77" t="s">
        <v>10786</v>
      </c>
      <c r="B7152" s="76" t="s">
        <v>10945</v>
      </c>
    </row>
    <row r="7153" spans="1:2" ht="15">
      <c r="A7153" s="77" t="s">
        <v>10787</v>
      </c>
      <c r="B7153" s="76" t="s">
        <v>10945</v>
      </c>
    </row>
    <row r="7154" spans="1:2" ht="15">
      <c r="A7154" s="77" t="s">
        <v>10788</v>
      </c>
      <c r="B7154" s="76" t="s">
        <v>10945</v>
      </c>
    </row>
    <row r="7155" spans="1:2" ht="15">
      <c r="A7155" s="77" t="s">
        <v>10789</v>
      </c>
      <c r="B7155" s="76" t="s">
        <v>10945</v>
      </c>
    </row>
    <row r="7156" spans="1:2" ht="15">
      <c r="A7156" s="77" t="s">
        <v>10790</v>
      </c>
      <c r="B7156" s="76" t="s">
        <v>10945</v>
      </c>
    </row>
    <row r="7157" spans="1:2" ht="15">
      <c r="A7157" s="77" t="s">
        <v>10791</v>
      </c>
      <c r="B7157" s="76" t="s">
        <v>10945</v>
      </c>
    </row>
    <row r="7158" spans="1:2" ht="15">
      <c r="A7158" s="77" t="s">
        <v>10792</v>
      </c>
      <c r="B7158" s="76" t="s">
        <v>10945</v>
      </c>
    </row>
    <row r="7159" spans="1:2" ht="15">
      <c r="A7159" s="77" t="s">
        <v>10793</v>
      </c>
      <c r="B7159" s="76" t="s">
        <v>10945</v>
      </c>
    </row>
    <row r="7160" spans="1:2" ht="15">
      <c r="A7160" s="77" t="s">
        <v>10794</v>
      </c>
      <c r="B7160" s="76" t="s">
        <v>10945</v>
      </c>
    </row>
    <row r="7161" spans="1:2" ht="15">
      <c r="A7161" s="77" t="s">
        <v>10795</v>
      </c>
      <c r="B7161" s="76" t="s">
        <v>10945</v>
      </c>
    </row>
    <row r="7162" spans="1:2" ht="15">
      <c r="A7162" s="77" t="s">
        <v>10796</v>
      </c>
      <c r="B7162" s="76" t="s">
        <v>10945</v>
      </c>
    </row>
    <row r="7163" spans="1:2" ht="15">
      <c r="A7163" s="77" t="s">
        <v>10797</v>
      </c>
      <c r="B7163" s="76" t="s">
        <v>10945</v>
      </c>
    </row>
    <row r="7164" spans="1:2" ht="15">
      <c r="A7164" s="77" t="s">
        <v>10798</v>
      </c>
      <c r="B7164" s="76" t="s">
        <v>10945</v>
      </c>
    </row>
    <row r="7165" spans="1:2" ht="15">
      <c r="A7165" s="77" t="s">
        <v>10799</v>
      </c>
      <c r="B7165" s="76" t="s">
        <v>10945</v>
      </c>
    </row>
    <row r="7166" spans="1:2" ht="15">
      <c r="A7166" s="77" t="s">
        <v>10800</v>
      </c>
      <c r="B7166" s="76" t="s">
        <v>10945</v>
      </c>
    </row>
    <row r="7167" spans="1:2" ht="15">
      <c r="A7167" s="77" t="s">
        <v>10801</v>
      </c>
      <c r="B7167" s="76" t="s">
        <v>10945</v>
      </c>
    </row>
    <row r="7168" spans="1:2" ht="15">
      <c r="A7168" s="77" t="s">
        <v>10802</v>
      </c>
      <c r="B7168" s="76" t="s">
        <v>10945</v>
      </c>
    </row>
    <row r="7169" spans="1:2" ht="15">
      <c r="A7169" s="77" t="s">
        <v>10803</v>
      </c>
      <c r="B7169" s="76" t="s">
        <v>10945</v>
      </c>
    </row>
    <row r="7170" spans="1:2" ht="15">
      <c r="A7170" s="77" t="s">
        <v>10804</v>
      </c>
      <c r="B7170" s="76" t="s">
        <v>10945</v>
      </c>
    </row>
    <row r="7171" spans="1:2" ht="15">
      <c r="A7171" s="77" t="s">
        <v>10805</v>
      </c>
      <c r="B7171" s="76" t="s">
        <v>10945</v>
      </c>
    </row>
    <row r="7172" spans="1:2" ht="15">
      <c r="A7172" s="77" t="s">
        <v>10806</v>
      </c>
      <c r="B7172" s="76" t="s">
        <v>10945</v>
      </c>
    </row>
    <row r="7173" spans="1:2" ht="15">
      <c r="A7173" s="77" t="s">
        <v>10807</v>
      </c>
      <c r="B7173" s="76" t="s">
        <v>10945</v>
      </c>
    </row>
    <row r="7174" spans="1:2" ht="15">
      <c r="A7174" s="77" t="s">
        <v>10808</v>
      </c>
      <c r="B7174" s="76" t="s">
        <v>10945</v>
      </c>
    </row>
    <row r="7175" spans="1:2" ht="15">
      <c r="A7175" s="77" t="s">
        <v>10809</v>
      </c>
      <c r="B7175" s="76" t="s">
        <v>10945</v>
      </c>
    </row>
    <row r="7176" spans="1:2" ht="15">
      <c r="A7176" s="77" t="s">
        <v>10810</v>
      </c>
      <c r="B7176" s="76" t="s">
        <v>10945</v>
      </c>
    </row>
    <row r="7177" spans="1:2" ht="15">
      <c r="A7177" s="77" t="s">
        <v>10811</v>
      </c>
      <c r="B7177" s="76" t="s">
        <v>10945</v>
      </c>
    </row>
    <row r="7178" spans="1:2" ht="15">
      <c r="A7178" s="77" t="s">
        <v>10812</v>
      </c>
      <c r="B7178" s="76" t="s">
        <v>10945</v>
      </c>
    </row>
    <row r="7179" spans="1:2" ht="15">
      <c r="A7179" s="77" t="s">
        <v>10813</v>
      </c>
      <c r="B7179" s="76" t="s">
        <v>10945</v>
      </c>
    </row>
    <row r="7180" spans="1:2" ht="15">
      <c r="A7180" s="77" t="s">
        <v>10814</v>
      </c>
      <c r="B7180" s="76" t="s">
        <v>10945</v>
      </c>
    </row>
    <row r="7181" spans="1:2" ht="15">
      <c r="A7181" s="77" t="s">
        <v>10815</v>
      </c>
      <c r="B7181" s="76" t="s">
        <v>10945</v>
      </c>
    </row>
    <row r="7182" spans="1:2" ht="15">
      <c r="A7182" s="77" t="s">
        <v>3390</v>
      </c>
      <c r="B7182" s="76" t="s">
        <v>10945</v>
      </c>
    </row>
    <row r="7183" spans="1:2" ht="15">
      <c r="A7183" s="77" t="s">
        <v>10816</v>
      </c>
      <c r="B7183" s="76" t="s">
        <v>10945</v>
      </c>
    </row>
    <row r="7184" spans="1:2" ht="15">
      <c r="A7184" s="77" t="s">
        <v>10817</v>
      </c>
      <c r="B7184" s="76" t="s">
        <v>10945</v>
      </c>
    </row>
    <row r="7185" spans="1:2" ht="15">
      <c r="A7185" s="77" t="s">
        <v>10818</v>
      </c>
      <c r="B7185" s="76" t="s">
        <v>10945</v>
      </c>
    </row>
    <row r="7186" spans="1:2" ht="15">
      <c r="A7186" s="77" t="s">
        <v>10819</v>
      </c>
      <c r="B7186" s="76" t="s">
        <v>10945</v>
      </c>
    </row>
    <row r="7187" spans="1:2" ht="15">
      <c r="A7187" s="77" t="s">
        <v>10820</v>
      </c>
      <c r="B7187" s="76" t="s">
        <v>10945</v>
      </c>
    </row>
    <row r="7188" spans="1:2" ht="15">
      <c r="A7188" s="77" t="s">
        <v>3503</v>
      </c>
      <c r="B7188" s="76" t="s">
        <v>10945</v>
      </c>
    </row>
    <row r="7189" spans="1:2" ht="15">
      <c r="A7189" s="77" t="s">
        <v>10821</v>
      </c>
      <c r="B7189" s="76" t="s">
        <v>10945</v>
      </c>
    </row>
    <row r="7190" spans="1:2" ht="15">
      <c r="A7190" s="77" t="s">
        <v>10822</v>
      </c>
      <c r="B7190" s="76" t="s">
        <v>10945</v>
      </c>
    </row>
    <row r="7191" spans="1:2" ht="15">
      <c r="A7191" s="77" t="s">
        <v>10823</v>
      </c>
      <c r="B7191" s="76" t="s">
        <v>10945</v>
      </c>
    </row>
    <row r="7192" spans="1:2" ht="15">
      <c r="A7192" s="77" t="s">
        <v>10824</v>
      </c>
      <c r="B7192" s="76" t="s">
        <v>10945</v>
      </c>
    </row>
    <row r="7193" spans="1:2" ht="15">
      <c r="A7193" s="77" t="s">
        <v>10825</v>
      </c>
      <c r="B7193" s="76" t="s">
        <v>10945</v>
      </c>
    </row>
    <row r="7194" spans="1:2" ht="15">
      <c r="A7194" s="77" t="s">
        <v>10826</v>
      </c>
      <c r="B7194" s="76" t="s">
        <v>10945</v>
      </c>
    </row>
    <row r="7195" spans="1:2" ht="15">
      <c r="A7195" s="77" t="s">
        <v>10827</v>
      </c>
      <c r="B7195" s="76" t="s">
        <v>10945</v>
      </c>
    </row>
    <row r="7196" spans="1:2" ht="15">
      <c r="A7196" s="77" t="s">
        <v>10828</v>
      </c>
      <c r="B7196" s="76" t="s">
        <v>10945</v>
      </c>
    </row>
    <row r="7197" spans="1:2" ht="15">
      <c r="A7197" s="77" t="s">
        <v>10829</v>
      </c>
      <c r="B7197" s="76" t="s">
        <v>10945</v>
      </c>
    </row>
    <row r="7198" spans="1:2" ht="15">
      <c r="A7198" s="77" t="s">
        <v>10830</v>
      </c>
      <c r="B7198" s="76" t="s">
        <v>10945</v>
      </c>
    </row>
    <row r="7199" spans="1:2" ht="15">
      <c r="A7199" s="77" t="s">
        <v>10831</v>
      </c>
      <c r="B7199" s="76" t="s">
        <v>10945</v>
      </c>
    </row>
    <row r="7200" spans="1:2" ht="15">
      <c r="A7200" s="77" t="s">
        <v>10832</v>
      </c>
      <c r="B7200" s="76" t="s">
        <v>10945</v>
      </c>
    </row>
    <row r="7201" spans="1:2" ht="15">
      <c r="A7201" s="77" t="s">
        <v>10833</v>
      </c>
      <c r="B7201" s="76" t="s">
        <v>10945</v>
      </c>
    </row>
    <row r="7202" spans="1:2" ht="15">
      <c r="A7202" s="77" t="s">
        <v>10834</v>
      </c>
      <c r="B7202" s="76" t="s">
        <v>10945</v>
      </c>
    </row>
    <row r="7203" spans="1:2" ht="15">
      <c r="A7203" s="77" t="s">
        <v>10835</v>
      </c>
      <c r="B7203" s="76" t="s">
        <v>10945</v>
      </c>
    </row>
    <row r="7204" spans="1:2" ht="15">
      <c r="A7204" s="77" t="s">
        <v>10836</v>
      </c>
      <c r="B7204" s="76" t="s">
        <v>10945</v>
      </c>
    </row>
    <row r="7205" spans="1:2" ht="15">
      <c r="A7205" s="77" t="s">
        <v>10837</v>
      </c>
      <c r="B7205" s="76" t="s">
        <v>10945</v>
      </c>
    </row>
    <row r="7206" spans="1:2" ht="15">
      <c r="A7206" s="77" t="s">
        <v>10838</v>
      </c>
      <c r="B7206" s="76" t="s">
        <v>10945</v>
      </c>
    </row>
    <row r="7207" spans="1:2" ht="15">
      <c r="A7207" s="77" t="s">
        <v>10839</v>
      </c>
      <c r="B7207" s="76" t="s">
        <v>10945</v>
      </c>
    </row>
    <row r="7208" spans="1:2" ht="15">
      <c r="A7208" s="77" t="s">
        <v>10840</v>
      </c>
      <c r="B7208" s="76" t="s">
        <v>10945</v>
      </c>
    </row>
    <row r="7209" spans="1:2" ht="15">
      <c r="A7209" s="77" t="s">
        <v>10841</v>
      </c>
      <c r="B7209" s="76" t="s">
        <v>10945</v>
      </c>
    </row>
    <row r="7210" spans="1:2" ht="15">
      <c r="A7210" s="77" t="s">
        <v>10842</v>
      </c>
      <c r="B7210" s="76" t="s">
        <v>10945</v>
      </c>
    </row>
    <row r="7211" spans="1:2" ht="15">
      <c r="A7211" s="77" t="s">
        <v>10843</v>
      </c>
      <c r="B7211" s="76" t="s">
        <v>10945</v>
      </c>
    </row>
    <row r="7212" spans="1:2" ht="15">
      <c r="A7212" s="77" t="s">
        <v>10844</v>
      </c>
      <c r="B7212" s="76" t="s">
        <v>10945</v>
      </c>
    </row>
    <row r="7213" spans="1:2" ht="15">
      <c r="A7213" s="77" t="s">
        <v>10845</v>
      </c>
      <c r="B7213" s="76" t="s">
        <v>10945</v>
      </c>
    </row>
    <row r="7214" spans="1:2" ht="15">
      <c r="A7214" s="77" t="s">
        <v>10846</v>
      </c>
      <c r="B7214" s="76" t="s">
        <v>10945</v>
      </c>
    </row>
    <row r="7215" spans="1:2" ht="15">
      <c r="A7215" s="77" t="s">
        <v>10847</v>
      </c>
      <c r="B7215" s="76" t="s">
        <v>10945</v>
      </c>
    </row>
    <row r="7216" spans="1:2" ht="15">
      <c r="A7216" s="77" t="s">
        <v>10848</v>
      </c>
      <c r="B7216" s="76" t="s">
        <v>10945</v>
      </c>
    </row>
    <row r="7217" spans="1:2" ht="15">
      <c r="A7217" s="77" t="s">
        <v>10849</v>
      </c>
      <c r="B7217" s="76" t="s">
        <v>10945</v>
      </c>
    </row>
    <row r="7218" spans="1:2" ht="15">
      <c r="A7218" s="77" t="s">
        <v>10850</v>
      </c>
      <c r="B7218" s="76" t="s">
        <v>10945</v>
      </c>
    </row>
    <row r="7219" spans="1:2" ht="15">
      <c r="A7219" s="77" t="s">
        <v>10851</v>
      </c>
      <c r="B7219" s="76" t="s">
        <v>10945</v>
      </c>
    </row>
    <row r="7220" spans="1:2" ht="15">
      <c r="A7220" s="77" t="s">
        <v>10852</v>
      </c>
      <c r="B7220" s="76" t="s">
        <v>10945</v>
      </c>
    </row>
    <row r="7221" spans="1:2" ht="15">
      <c r="A7221" s="77" t="s">
        <v>10853</v>
      </c>
      <c r="B7221" s="76" t="s">
        <v>10945</v>
      </c>
    </row>
    <row r="7222" spans="1:2" ht="15">
      <c r="A7222" s="77" t="s">
        <v>10854</v>
      </c>
      <c r="B7222" s="76" t="s">
        <v>10945</v>
      </c>
    </row>
    <row r="7223" spans="1:2" ht="15">
      <c r="A7223" s="77" t="s">
        <v>10855</v>
      </c>
      <c r="B7223" s="76" t="s">
        <v>10945</v>
      </c>
    </row>
    <row r="7224" spans="1:2" ht="15">
      <c r="A7224" s="77" t="s">
        <v>10856</v>
      </c>
      <c r="B7224" s="76" t="s">
        <v>10945</v>
      </c>
    </row>
    <row r="7225" spans="1:2" ht="15">
      <c r="A7225" s="77" t="s">
        <v>10857</v>
      </c>
      <c r="B7225" s="76" t="s">
        <v>10945</v>
      </c>
    </row>
    <row r="7226" spans="1:2" ht="15">
      <c r="A7226" s="77" t="s">
        <v>10858</v>
      </c>
      <c r="B7226" s="76" t="s">
        <v>10945</v>
      </c>
    </row>
    <row r="7227" spans="1:2" ht="15">
      <c r="A7227" s="77" t="s">
        <v>10859</v>
      </c>
      <c r="B7227" s="76" t="s">
        <v>10945</v>
      </c>
    </row>
    <row r="7228" spans="1:2" ht="15">
      <c r="A7228" s="77" t="s">
        <v>10860</v>
      </c>
      <c r="B7228" s="76" t="s">
        <v>10945</v>
      </c>
    </row>
    <row r="7229" spans="1:2" ht="15">
      <c r="A7229" s="77" t="s">
        <v>10861</v>
      </c>
      <c r="B7229" s="76" t="s">
        <v>10945</v>
      </c>
    </row>
    <row r="7230" spans="1:2" ht="15">
      <c r="A7230" s="77" t="s">
        <v>10862</v>
      </c>
      <c r="B7230" s="76" t="s">
        <v>10945</v>
      </c>
    </row>
    <row r="7231" spans="1:2" ht="15">
      <c r="A7231" s="77" t="s">
        <v>10863</v>
      </c>
      <c r="B7231" s="76" t="s">
        <v>10945</v>
      </c>
    </row>
    <row r="7232" spans="1:2" ht="15">
      <c r="A7232" s="77" t="s">
        <v>10864</v>
      </c>
      <c r="B7232" s="76" t="s">
        <v>10945</v>
      </c>
    </row>
    <row r="7233" spans="1:2" ht="15">
      <c r="A7233" s="77" t="s">
        <v>10865</v>
      </c>
      <c r="B7233" s="76" t="s">
        <v>10945</v>
      </c>
    </row>
    <row r="7234" spans="1:2" ht="15">
      <c r="A7234" s="77" t="s">
        <v>10866</v>
      </c>
      <c r="B7234" s="76" t="s">
        <v>10945</v>
      </c>
    </row>
    <row r="7235" spans="1:2" ht="15">
      <c r="A7235" s="77" t="s">
        <v>10867</v>
      </c>
      <c r="B7235" s="76" t="s">
        <v>10945</v>
      </c>
    </row>
    <row r="7236" spans="1:2" ht="15">
      <c r="A7236" s="77" t="s">
        <v>10868</v>
      </c>
      <c r="B7236" s="76" t="s">
        <v>10945</v>
      </c>
    </row>
    <row r="7237" spans="1:2" ht="15">
      <c r="A7237" s="77" t="s">
        <v>10869</v>
      </c>
      <c r="B7237" s="76" t="s">
        <v>10945</v>
      </c>
    </row>
    <row r="7238" spans="1:2" ht="15">
      <c r="A7238" s="77" t="s">
        <v>10870</v>
      </c>
      <c r="B7238" s="76" t="s">
        <v>10945</v>
      </c>
    </row>
    <row r="7239" spans="1:2" ht="15">
      <c r="A7239" s="77" t="s">
        <v>10871</v>
      </c>
      <c r="B7239" s="76" t="s">
        <v>10945</v>
      </c>
    </row>
    <row r="7240" spans="1:2" ht="15">
      <c r="A7240" s="77" t="s">
        <v>10872</v>
      </c>
      <c r="B7240" s="76" t="s">
        <v>10945</v>
      </c>
    </row>
    <row r="7241" spans="1:2" ht="15">
      <c r="A7241" s="77" t="s">
        <v>10873</v>
      </c>
      <c r="B7241" s="76" t="s">
        <v>10945</v>
      </c>
    </row>
    <row r="7242" spans="1:2" ht="15">
      <c r="A7242" s="77" t="s">
        <v>10874</v>
      </c>
      <c r="B7242" s="76" t="s">
        <v>10945</v>
      </c>
    </row>
    <row r="7243" spans="1:2" ht="15">
      <c r="A7243" s="77" t="s">
        <v>10875</v>
      </c>
      <c r="B7243" s="76" t="s">
        <v>10945</v>
      </c>
    </row>
    <row r="7244" spans="1:2" ht="15">
      <c r="A7244" s="77" t="s">
        <v>10876</v>
      </c>
      <c r="B7244" s="76" t="s">
        <v>10945</v>
      </c>
    </row>
    <row r="7245" spans="1:2" ht="15">
      <c r="A7245" s="77" t="s">
        <v>10877</v>
      </c>
      <c r="B7245" s="76" t="s">
        <v>10945</v>
      </c>
    </row>
    <row r="7246" spans="1:2" ht="15">
      <c r="A7246" s="77" t="s">
        <v>10878</v>
      </c>
      <c r="B7246" s="76" t="s">
        <v>10945</v>
      </c>
    </row>
    <row r="7247" spans="1:2" ht="15">
      <c r="A7247" s="77" t="s">
        <v>10879</v>
      </c>
      <c r="B7247" s="76" t="s">
        <v>10945</v>
      </c>
    </row>
    <row r="7248" spans="1:2" ht="15">
      <c r="A7248" s="77" t="s">
        <v>10880</v>
      </c>
      <c r="B7248" s="76" t="s">
        <v>10945</v>
      </c>
    </row>
    <row r="7249" spans="1:2" ht="15">
      <c r="A7249" s="77" t="s">
        <v>10881</v>
      </c>
      <c r="B7249" s="76" t="s">
        <v>10945</v>
      </c>
    </row>
    <row r="7250" spans="1:2" ht="15">
      <c r="A7250" s="77" t="s">
        <v>10882</v>
      </c>
      <c r="B7250" s="76" t="s">
        <v>10945</v>
      </c>
    </row>
    <row r="7251" spans="1:2" ht="15">
      <c r="A7251" s="77" t="s">
        <v>10883</v>
      </c>
      <c r="B7251" s="76" t="s">
        <v>10945</v>
      </c>
    </row>
    <row r="7252" spans="1:2" ht="15">
      <c r="A7252" s="77" t="s">
        <v>10884</v>
      </c>
      <c r="B7252" s="76" t="s">
        <v>10945</v>
      </c>
    </row>
    <row r="7253" spans="1:2" ht="15">
      <c r="A7253" s="77" t="s">
        <v>10885</v>
      </c>
      <c r="B7253" s="76" t="s">
        <v>10945</v>
      </c>
    </row>
    <row r="7254" spans="1:2" ht="15">
      <c r="A7254" s="77" t="s">
        <v>10886</v>
      </c>
      <c r="B7254" s="76" t="s">
        <v>10945</v>
      </c>
    </row>
    <row r="7255" spans="1:2" ht="15">
      <c r="A7255" s="77" t="s">
        <v>10887</v>
      </c>
      <c r="B7255" s="76" t="s">
        <v>10945</v>
      </c>
    </row>
    <row r="7256" spans="1:2" ht="15">
      <c r="A7256" s="77" t="s">
        <v>10888</v>
      </c>
      <c r="B7256" s="76" t="s">
        <v>10945</v>
      </c>
    </row>
    <row r="7257" spans="1:2" ht="15">
      <c r="A7257" s="77" t="s">
        <v>10889</v>
      </c>
      <c r="B7257" s="76" t="s">
        <v>10945</v>
      </c>
    </row>
    <row r="7258" spans="1:2" ht="15">
      <c r="A7258" s="77" t="s">
        <v>10890</v>
      </c>
      <c r="B7258" s="76" t="s">
        <v>10945</v>
      </c>
    </row>
    <row r="7259" spans="1:2" ht="15">
      <c r="A7259" s="77" t="s">
        <v>10891</v>
      </c>
      <c r="B7259" s="76" t="s">
        <v>10945</v>
      </c>
    </row>
    <row r="7260" spans="1:2" ht="15">
      <c r="A7260" s="77" t="s">
        <v>10892</v>
      </c>
      <c r="B7260" s="76" t="s">
        <v>10945</v>
      </c>
    </row>
    <row r="7261" spans="1:2" ht="15">
      <c r="A7261" s="77" t="s">
        <v>10893</v>
      </c>
      <c r="B7261" s="76" t="s">
        <v>10945</v>
      </c>
    </row>
    <row r="7262" spans="1:2" ht="15">
      <c r="A7262" s="77" t="s">
        <v>10894</v>
      </c>
      <c r="B7262" s="76" t="s">
        <v>10945</v>
      </c>
    </row>
    <row r="7263" spans="1:2" ht="15">
      <c r="A7263" s="77" t="s">
        <v>10895</v>
      </c>
      <c r="B7263" s="76" t="s">
        <v>10945</v>
      </c>
    </row>
    <row r="7264" spans="1:2" ht="15">
      <c r="A7264" s="77" t="s">
        <v>10896</v>
      </c>
      <c r="B7264" s="76" t="s">
        <v>10945</v>
      </c>
    </row>
    <row r="7265" spans="1:2" ht="15">
      <c r="A7265" s="77" t="s">
        <v>3780</v>
      </c>
      <c r="B7265" s="76" t="s">
        <v>10945</v>
      </c>
    </row>
    <row r="7266" spans="1:2" ht="15">
      <c r="A7266" s="77" t="s">
        <v>10897</v>
      </c>
      <c r="B7266" s="76" t="s">
        <v>10945</v>
      </c>
    </row>
    <row r="7267" spans="1:2" ht="15">
      <c r="A7267" s="77" t="s">
        <v>10898</v>
      </c>
      <c r="B7267" s="76" t="s">
        <v>10945</v>
      </c>
    </row>
    <row r="7268" spans="1:2" ht="15">
      <c r="A7268" s="77" t="s">
        <v>10899</v>
      </c>
      <c r="B7268" s="76" t="s">
        <v>10945</v>
      </c>
    </row>
    <row r="7269" spans="1:2" ht="15">
      <c r="A7269" s="77" t="s">
        <v>10900</v>
      </c>
      <c r="B7269" s="76" t="s">
        <v>10945</v>
      </c>
    </row>
    <row r="7270" spans="1:2" ht="15">
      <c r="A7270" s="77" t="s">
        <v>10901</v>
      </c>
      <c r="B7270" s="76" t="s">
        <v>10945</v>
      </c>
    </row>
    <row r="7271" spans="1:2" ht="15">
      <c r="A7271" s="77" t="s">
        <v>10902</v>
      </c>
      <c r="B7271" s="76" t="s">
        <v>10945</v>
      </c>
    </row>
    <row r="7272" spans="1:2" ht="15">
      <c r="A7272" s="77" t="s">
        <v>10903</v>
      </c>
      <c r="B7272" s="76" t="s">
        <v>10945</v>
      </c>
    </row>
    <row r="7273" spans="1:2" ht="15">
      <c r="A7273" s="77" t="s">
        <v>3647</v>
      </c>
      <c r="B7273" s="76" t="s">
        <v>10945</v>
      </c>
    </row>
    <row r="7274" spans="1:2" ht="15">
      <c r="A7274" s="77" t="s">
        <v>10904</v>
      </c>
      <c r="B7274" s="76" t="s">
        <v>10945</v>
      </c>
    </row>
    <row r="7275" spans="1:2" ht="15">
      <c r="A7275" s="77" t="s">
        <v>10905</v>
      </c>
      <c r="B7275" s="76" t="s">
        <v>10945</v>
      </c>
    </row>
    <row r="7276" spans="1:2" ht="15">
      <c r="A7276" s="77" t="s">
        <v>2646</v>
      </c>
      <c r="B7276" s="76" t="s">
        <v>10945</v>
      </c>
    </row>
    <row r="7277" spans="1:2" ht="15">
      <c r="A7277" s="77" t="s">
        <v>10906</v>
      </c>
      <c r="B7277" s="76" t="s">
        <v>10945</v>
      </c>
    </row>
    <row r="7278" spans="1:2" ht="15">
      <c r="A7278" s="77" t="s">
        <v>10907</v>
      </c>
      <c r="B7278" s="76" t="s">
        <v>10945</v>
      </c>
    </row>
    <row r="7279" spans="1:2" ht="15">
      <c r="A7279" s="77" t="s">
        <v>10908</v>
      </c>
      <c r="B7279" s="76" t="s">
        <v>10945</v>
      </c>
    </row>
    <row r="7280" spans="1:2" ht="15">
      <c r="A7280" s="77" t="s">
        <v>10909</v>
      </c>
      <c r="B7280" s="76" t="s">
        <v>10945</v>
      </c>
    </row>
    <row r="7281" spans="1:2" ht="15">
      <c r="A7281" s="77" t="s">
        <v>10910</v>
      </c>
      <c r="B7281" s="76" t="s">
        <v>10945</v>
      </c>
    </row>
    <row r="7282" spans="1:2" ht="15">
      <c r="A7282" s="77" t="s">
        <v>10911</v>
      </c>
      <c r="B7282" s="76" t="s">
        <v>10945</v>
      </c>
    </row>
    <row r="7283" spans="1:2" ht="15">
      <c r="A7283" s="77" t="s">
        <v>10912</v>
      </c>
      <c r="B7283" s="76" t="s">
        <v>10945</v>
      </c>
    </row>
    <row r="7284" spans="1:2" ht="15">
      <c r="A7284" s="77" t="s">
        <v>10913</v>
      </c>
      <c r="B7284" s="76" t="s">
        <v>10945</v>
      </c>
    </row>
    <row r="7285" spans="1:2" ht="15">
      <c r="A7285" s="77" t="s">
        <v>10914</v>
      </c>
      <c r="B7285" s="76" t="s">
        <v>10945</v>
      </c>
    </row>
    <row r="7286" spans="1:2" ht="15">
      <c r="A7286" s="77" t="s">
        <v>10915</v>
      </c>
      <c r="B7286" s="76" t="s">
        <v>10945</v>
      </c>
    </row>
    <row r="7287" spans="1:2" ht="15">
      <c r="A7287" s="77" t="s">
        <v>10916</v>
      </c>
      <c r="B7287" s="76" t="s">
        <v>10945</v>
      </c>
    </row>
    <row r="7288" spans="1:2" ht="15">
      <c r="A7288" s="77" t="s">
        <v>10917</v>
      </c>
      <c r="B7288" s="76" t="s">
        <v>10945</v>
      </c>
    </row>
    <row r="7289" spans="1:2" ht="15">
      <c r="A7289" s="77" t="s">
        <v>10918</v>
      </c>
      <c r="B7289" s="76" t="s">
        <v>10945</v>
      </c>
    </row>
    <row r="7290" spans="1:2" ht="15">
      <c r="A7290" s="77" t="s">
        <v>10919</v>
      </c>
      <c r="B7290" s="76" t="s">
        <v>10945</v>
      </c>
    </row>
    <row r="7291" spans="1:2" ht="15">
      <c r="A7291" s="77" t="s">
        <v>10920</v>
      </c>
      <c r="B7291" s="76" t="s">
        <v>10945</v>
      </c>
    </row>
    <row r="7292" spans="1:2" ht="15">
      <c r="A7292" s="77" t="s">
        <v>10921</v>
      </c>
      <c r="B7292" s="76" t="s">
        <v>10945</v>
      </c>
    </row>
    <row r="7293" spans="1:2" ht="15">
      <c r="A7293" s="77" t="s">
        <v>10922</v>
      </c>
      <c r="B7293" s="76" t="s">
        <v>10945</v>
      </c>
    </row>
    <row r="7294" spans="1:2" ht="15">
      <c r="A7294" s="77" t="s">
        <v>10923</v>
      </c>
      <c r="B7294" s="76" t="s">
        <v>10945</v>
      </c>
    </row>
    <row r="7295" spans="1:2" ht="15">
      <c r="A7295" s="77" t="s">
        <v>10924</v>
      </c>
      <c r="B7295" s="76" t="s">
        <v>10945</v>
      </c>
    </row>
    <row r="7296" spans="1:2" ht="15">
      <c r="A7296" s="77" t="s">
        <v>10925</v>
      </c>
      <c r="B7296" s="76" t="s">
        <v>10945</v>
      </c>
    </row>
    <row r="7297" spans="1:2" ht="15">
      <c r="A7297" s="77" t="s">
        <v>10926</v>
      </c>
      <c r="B7297" s="76" t="s">
        <v>10945</v>
      </c>
    </row>
    <row r="7298" spans="1:2" ht="15">
      <c r="A7298" s="77" t="s">
        <v>10927</v>
      </c>
      <c r="B7298" s="76" t="s">
        <v>10945</v>
      </c>
    </row>
    <row r="7299" spans="1:2" ht="15">
      <c r="A7299" s="77" t="s">
        <v>10928</v>
      </c>
      <c r="B7299" s="76" t="s">
        <v>10945</v>
      </c>
    </row>
    <row r="7300" spans="1:2" ht="15">
      <c r="A7300" s="77" t="s">
        <v>10929</v>
      </c>
      <c r="B7300" s="76" t="s">
        <v>10945</v>
      </c>
    </row>
    <row r="7301" spans="1:2" ht="15">
      <c r="A7301" s="77" t="s">
        <v>10930</v>
      </c>
      <c r="B7301" s="76" t="s">
        <v>10945</v>
      </c>
    </row>
    <row r="7302" spans="1:2" ht="15">
      <c r="A7302" s="77" t="s">
        <v>10931</v>
      </c>
      <c r="B7302" s="76" t="s">
        <v>10945</v>
      </c>
    </row>
    <row r="7303" spans="1:2" ht="15">
      <c r="A7303" s="77" t="s">
        <v>10932</v>
      </c>
      <c r="B7303" s="76" t="s">
        <v>10945</v>
      </c>
    </row>
    <row r="7304" spans="1:2" ht="15">
      <c r="A7304" s="77" t="s">
        <v>10933</v>
      </c>
      <c r="B7304" s="76" t="s">
        <v>10945</v>
      </c>
    </row>
    <row r="7305" spans="1:2" ht="15">
      <c r="A7305" s="77" t="s">
        <v>10934</v>
      </c>
      <c r="B7305" s="76" t="s">
        <v>10945</v>
      </c>
    </row>
    <row r="7306" spans="1:2" ht="15">
      <c r="A7306" s="77" t="s">
        <v>10935</v>
      </c>
      <c r="B7306" s="76" t="s">
        <v>10945</v>
      </c>
    </row>
    <row r="7307" spans="1:2" ht="15">
      <c r="A7307" s="77" t="s">
        <v>10936</v>
      </c>
      <c r="B7307" s="76" t="s">
        <v>10945</v>
      </c>
    </row>
    <row r="7308" spans="1:2" ht="15">
      <c r="A7308" s="77" t="s">
        <v>10937</v>
      </c>
      <c r="B7308" s="76" t="s">
        <v>10945</v>
      </c>
    </row>
    <row r="7309" spans="1:2" ht="15">
      <c r="A7309" s="77" t="s">
        <v>10938</v>
      </c>
      <c r="B7309" s="76" t="s">
        <v>10945</v>
      </c>
    </row>
    <row r="7310" spans="1:2" ht="15">
      <c r="A7310" s="77" t="s">
        <v>10939</v>
      </c>
      <c r="B7310" s="76" t="s">
        <v>10945</v>
      </c>
    </row>
    <row r="7311" spans="1:2" ht="15">
      <c r="A7311" s="77" t="s">
        <v>10940</v>
      </c>
      <c r="B7311" s="76" t="s">
        <v>10945</v>
      </c>
    </row>
    <row r="7312" spans="1:2" ht="15">
      <c r="A7312" s="77" t="s">
        <v>10941</v>
      </c>
      <c r="B7312" s="76" t="s">
        <v>10945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1E283-DE38-4A88-BDD4-C21B9AD4AAE5}">
  <dimension ref="A1:C6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10946</v>
      </c>
      <c r="B2" s="112" t="s">
        <v>10947</v>
      </c>
      <c r="C2" s="50" t="s">
        <v>10948</v>
      </c>
    </row>
    <row r="3" spans="1:3" ht="15">
      <c r="A3" s="111" t="s">
        <v>2349</v>
      </c>
      <c r="B3" s="111" t="s">
        <v>2349</v>
      </c>
      <c r="C3" s="31">
        <v>43</v>
      </c>
    </row>
    <row r="4" spans="1:3" ht="15">
      <c r="A4" s="111" t="s">
        <v>2350</v>
      </c>
      <c r="B4" s="111" t="s">
        <v>2350</v>
      </c>
      <c r="C4" s="31">
        <v>17</v>
      </c>
    </row>
    <row r="5" spans="1:3" ht="15">
      <c r="A5" s="111" t="s">
        <v>2351</v>
      </c>
      <c r="B5" s="111" t="s">
        <v>2351</v>
      </c>
      <c r="C5" s="31">
        <v>12</v>
      </c>
    </row>
    <row r="6" spans="1:3" ht="15">
      <c r="A6" s="111" t="s">
        <v>2352</v>
      </c>
      <c r="B6" s="111" t="s">
        <v>2352</v>
      </c>
      <c r="C6" s="31">
        <v>6</v>
      </c>
    </row>
    <row r="7" spans="1:3" ht="15">
      <c r="A7" s="111" t="s">
        <v>2353</v>
      </c>
      <c r="B7" s="111" t="s">
        <v>2353</v>
      </c>
      <c r="C7" s="31">
        <v>5</v>
      </c>
    </row>
    <row r="8" spans="1:3" ht="15">
      <c r="A8" s="111" t="s">
        <v>2354</v>
      </c>
      <c r="B8" s="111" t="s">
        <v>2354</v>
      </c>
      <c r="C8" s="31">
        <v>5</v>
      </c>
    </row>
    <row r="9" spans="1:3" ht="15">
      <c r="A9" s="111" t="s">
        <v>2355</v>
      </c>
      <c r="B9" s="111" t="s">
        <v>2355</v>
      </c>
      <c r="C9" s="31">
        <v>4</v>
      </c>
    </row>
    <row r="10" spans="1:3" ht="15">
      <c r="A10" s="111" t="s">
        <v>2356</v>
      </c>
      <c r="B10" s="111" t="s">
        <v>2356</v>
      </c>
      <c r="C10" s="31">
        <v>4</v>
      </c>
    </row>
    <row r="11" spans="1:3" ht="15">
      <c r="A11" s="111" t="s">
        <v>2357</v>
      </c>
      <c r="B11" s="111" t="s">
        <v>2357</v>
      </c>
      <c r="C11" s="31">
        <v>3</v>
      </c>
    </row>
    <row r="12" spans="1:3" ht="15">
      <c r="A12" s="111" t="s">
        <v>2358</v>
      </c>
      <c r="B12" s="111" t="s">
        <v>2358</v>
      </c>
      <c r="C12" s="31">
        <v>3</v>
      </c>
    </row>
    <row r="13" spans="1:3" ht="15">
      <c r="A13" s="111" t="s">
        <v>2359</v>
      </c>
      <c r="B13" s="111" t="s">
        <v>2359</v>
      </c>
      <c r="C13" s="31">
        <v>3</v>
      </c>
    </row>
    <row r="14" spans="1:3" ht="15">
      <c r="A14" s="111" t="s">
        <v>2360</v>
      </c>
      <c r="B14" s="111" t="s">
        <v>2360</v>
      </c>
      <c r="C14" s="31">
        <v>2</v>
      </c>
    </row>
    <row r="15" spans="1:3" ht="15">
      <c r="A15" s="111" t="s">
        <v>2361</v>
      </c>
      <c r="B15" s="111" t="s">
        <v>2361</v>
      </c>
      <c r="C15" s="31">
        <v>2</v>
      </c>
    </row>
    <row r="16" spans="1:3" ht="15">
      <c r="A16" s="111" t="s">
        <v>2362</v>
      </c>
      <c r="B16" s="111" t="s">
        <v>2362</v>
      </c>
      <c r="C16" s="31">
        <v>4</v>
      </c>
    </row>
    <row r="17" spans="1:3" ht="15">
      <c r="A17" s="111" t="s">
        <v>2363</v>
      </c>
      <c r="B17" s="111" t="s">
        <v>2363</v>
      </c>
      <c r="C17" s="31">
        <v>3</v>
      </c>
    </row>
    <row r="18" spans="1:3" ht="15">
      <c r="A18" s="111" t="s">
        <v>2364</v>
      </c>
      <c r="B18" s="111" t="s">
        <v>2364</v>
      </c>
      <c r="C18" s="31">
        <v>2</v>
      </c>
    </row>
    <row r="19" spans="1:3" ht="15">
      <c r="A19" s="111" t="s">
        <v>2365</v>
      </c>
      <c r="B19" s="111" t="s">
        <v>2365</v>
      </c>
      <c r="C19" s="31">
        <v>2</v>
      </c>
    </row>
    <row r="20" spans="1:3" ht="15">
      <c r="A20" s="111" t="s">
        <v>2366</v>
      </c>
      <c r="B20" s="111" t="s">
        <v>2366</v>
      </c>
      <c r="C20" s="31">
        <v>2</v>
      </c>
    </row>
    <row r="21" spans="1:3" ht="15">
      <c r="A21" s="111" t="s">
        <v>2367</v>
      </c>
      <c r="B21" s="111" t="s">
        <v>2367</v>
      </c>
      <c r="C21" s="31">
        <v>2</v>
      </c>
    </row>
    <row r="22" spans="1:3" ht="15">
      <c r="A22" s="111" t="s">
        <v>2368</v>
      </c>
      <c r="B22" s="111" t="s">
        <v>2368</v>
      </c>
      <c r="C22" s="31">
        <v>2</v>
      </c>
    </row>
    <row r="23" spans="1:3" ht="15">
      <c r="A23" s="111" t="s">
        <v>2369</v>
      </c>
      <c r="B23" s="111" t="s">
        <v>2369</v>
      </c>
      <c r="C23" s="31">
        <v>2</v>
      </c>
    </row>
    <row r="24" spans="1:3" ht="15">
      <c r="A24" s="111" t="s">
        <v>2370</v>
      </c>
      <c r="B24" s="111" t="s">
        <v>2370</v>
      </c>
      <c r="C24" s="31">
        <v>2</v>
      </c>
    </row>
    <row r="25" spans="1:3" ht="15">
      <c r="A25" s="111" t="s">
        <v>2371</v>
      </c>
      <c r="B25" s="111" t="s">
        <v>2371</v>
      </c>
      <c r="C25" s="31">
        <v>2</v>
      </c>
    </row>
    <row r="26" spans="1:3" ht="15">
      <c r="A26" s="111" t="s">
        <v>2372</v>
      </c>
      <c r="B26" s="111" t="s">
        <v>2372</v>
      </c>
      <c r="C26" s="31">
        <v>3</v>
      </c>
    </row>
    <row r="27" spans="1:3" ht="15">
      <c r="A27" s="111" t="s">
        <v>2373</v>
      </c>
      <c r="B27" s="111" t="s">
        <v>2373</v>
      </c>
      <c r="C27" s="31">
        <v>1</v>
      </c>
    </row>
    <row r="28" spans="1:3" ht="15">
      <c r="A28" s="111" t="s">
        <v>2374</v>
      </c>
      <c r="B28" s="111" t="s">
        <v>2374</v>
      </c>
      <c r="C28" s="31">
        <v>1</v>
      </c>
    </row>
    <row r="29" spans="1:3" ht="15">
      <c r="A29" s="111" t="s">
        <v>2375</v>
      </c>
      <c r="B29" s="111" t="s">
        <v>2375</v>
      </c>
      <c r="C29" s="31">
        <v>1</v>
      </c>
    </row>
    <row r="30" spans="1:3" ht="15">
      <c r="A30" s="111" t="s">
        <v>2376</v>
      </c>
      <c r="B30" s="111" t="s">
        <v>2376</v>
      </c>
      <c r="C30" s="31">
        <v>1</v>
      </c>
    </row>
    <row r="31" spans="1:3" ht="15">
      <c r="A31" s="111" t="s">
        <v>2377</v>
      </c>
      <c r="B31" s="111" t="s">
        <v>2377</v>
      </c>
      <c r="C31" s="31">
        <v>1</v>
      </c>
    </row>
    <row r="32" spans="1:3" ht="15">
      <c r="A32" s="111" t="s">
        <v>2378</v>
      </c>
      <c r="B32" s="111" t="s">
        <v>2378</v>
      </c>
      <c r="C32" s="31">
        <v>1</v>
      </c>
    </row>
    <row r="33" spans="1:3" ht="15">
      <c r="A33" s="111" t="s">
        <v>2379</v>
      </c>
      <c r="B33" s="111" t="s">
        <v>2379</v>
      </c>
      <c r="C33" s="31">
        <v>2</v>
      </c>
    </row>
    <row r="34" spans="1:3" ht="15">
      <c r="A34" s="111" t="s">
        <v>2380</v>
      </c>
      <c r="B34" s="111" t="s">
        <v>2380</v>
      </c>
      <c r="C34" s="31">
        <v>1</v>
      </c>
    </row>
    <row r="35" spans="1:3" ht="15">
      <c r="A35" s="111" t="s">
        <v>2381</v>
      </c>
      <c r="B35" s="111" t="s">
        <v>2381</v>
      </c>
      <c r="C35" s="31">
        <v>2</v>
      </c>
    </row>
    <row r="36" spans="1:3" ht="15">
      <c r="A36" s="111" t="s">
        <v>2382</v>
      </c>
      <c r="B36" s="111" t="s">
        <v>2382</v>
      </c>
      <c r="C36" s="31">
        <v>1</v>
      </c>
    </row>
    <row r="37" spans="1:3" ht="15">
      <c r="A37" s="111" t="s">
        <v>2383</v>
      </c>
      <c r="B37" s="111" t="s">
        <v>2383</v>
      </c>
      <c r="C37" s="31">
        <v>1</v>
      </c>
    </row>
    <row r="38" spans="1:3" ht="15">
      <c r="A38" s="111" t="s">
        <v>2384</v>
      </c>
      <c r="B38" s="111" t="s">
        <v>2384</v>
      </c>
      <c r="C38" s="31">
        <v>2</v>
      </c>
    </row>
    <row r="39" spans="1:3" ht="15">
      <c r="A39" s="111" t="s">
        <v>2385</v>
      </c>
      <c r="B39" s="111" t="s">
        <v>2385</v>
      </c>
      <c r="C39" s="31">
        <v>2</v>
      </c>
    </row>
    <row r="40" spans="1:3" ht="15">
      <c r="A40" s="111" t="s">
        <v>2386</v>
      </c>
      <c r="B40" s="111" t="s">
        <v>2386</v>
      </c>
      <c r="C40" s="31">
        <v>1</v>
      </c>
    </row>
    <row r="41" spans="1:3" ht="15">
      <c r="A41" s="111" t="s">
        <v>2387</v>
      </c>
      <c r="B41" s="111" t="s">
        <v>2387</v>
      </c>
      <c r="C41" s="31">
        <v>1</v>
      </c>
    </row>
    <row r="42" spans="1:3" ht="15">
      <c r="A42" s="111" t="s">
        <v>2388</v>
      </c>
      <c r="B42" s="111" t="s">
        <v>2388</v>
      </c>
      <c r="C42" s="31">
        <v>1</v>
      </c>
    </row>
    <row r="43" spans="1:3" ht="15">
      <c r="A43" s="111" t="s">
        <v>2389</v>
      </c>
      <c r="B43" s="111" t="s">
        <v>2389</v>
      </c>
      <c r="C43" s="31">
        <v>2</v>
      </c>
    </row>
    <row r="44" spans="1:3" ht="15">
      <c r="A44" s="111" t="s">
        <v>2390</v>
      </c>
      <c r="B44" s="111" t="s">
        <v>2390</v>
      </c>
      <c r="C44" s="31">
        <v>2</v>
      </c>
    </row>
    <row r="45" spans="1:3" ht="15">
      <c r="A45" s="111" t="s">
        <v>2391</v>
      </c>
      <c r="B45" s="111" t="s">
        <v>2391</v>
      </c>
      <c r="C45" s="31">
        <v>2</v>
      </c>
    </row>
    <row r="46" spans="1:3" ht="15">
      <c r="A46" s="111" t="s">
        <v>2392</v>
      </c>
      <c r="B46" s="111" t="s">
        <v>2392</v>
      </c>
      <c r="C46" s="31">
        <v>2</v>
      </c>
    </row>
    <row r="47" spans="1:3" ht="15">
      <c r="A47" s="111" t="s">
        <v>2393</v>
      </c>
      <c r="B47" s="111" t="s">
        <v>2393</v>
      </c>
      <c r="C47" s="31">
        <v>1</v>
      </c>
    </row>
    <row r="48" spans="1:3" ht="15">
      <c r="A48" s="111" t="s">
        <v>2394</v>
      </c>
      <c r="B48" s="111" t="s">
        <v>2394</v>
      </c>
      <c r="C48" s="31">
        <v>1</v>
      </c>
    </row>
    <row r="49" spans="1:3" ht="15">
      <c r="A49" s="111" t="s">
        <v>2395</v>
      </c>
      <c r="B49" s="111" t="s">
        <v>2395</v>
      </c>
      <c r="C49" s="31">
        <v>1</v>
      </c>
    </row>
    <row r="50" spans="1:3" ht="15">
      <c r="A50" s="111" t="s">
        <v>2396</v>
      </c>
      <c r="B50" s="111" t="s">
        <v>2396</v>
      </c>
      <c r="C50" s="31">
        <v>2</v>
      </c>
    </row>
    <row r="51" spans="1:3" ht="15">
      <c r="A51" s="111" t="s">
        <v>2397</v>
      </c>
      <c r="B51" s="111" t="s">
        <v>2397</v>
      </c>
      <c r="C51" s="31">
        <v>1</v>
      </c>
    </row>
    <row r="52" spans="1:3" ht="15">
      <c r="A52" s="111" t="s">
        <v>2398</v>
      </c>
      <c r="B52" s="111" t="s">
        <v>2398</v>
      </c>
      <c r="C52" s="31">
        <v>1</v>
      </c>
    </row>
    <row r="53" spans="1:3" ht="15">
      <c r="A53" s="111" t="s">
        <v>2399</v>
      </c>
      <c r="B53" s="111" t="s">
        <v>2399</v>
      </c>
      <c r="C53" s="31">
        <v>1</v>
      </c>
    </row>
    <row r="54" spans="1:3" ht="15">
      <c r="A54" s="111" t="s">
        <v>2400</v>
      </c>
      <c r="B54" s="111" t="s">
        <v>2400</v>
      </c>
      <c r="C54" s="31">
        <v>1</v>
      </c>
    </row>
    <row r="55" spans="1:3" ht="15">
      <c r="A55" s="111" t="s">
        <v>2401</v>
      </c>
      <c r="B55" s="111" t="s">
        <v>2401</v>
      </c>
      <c r="C55" s="31">
        <v>1</v>
      </c>
    </row>
    <row r="56" spans="1:3" ht="15">
      <c r="A56" s="111" t="s">
        <v>2402</v>
      </c>
      <c r="B56" s="111" t="s">
        <v>2402</v>
      </c>
      <c r="C56" s="31">
        <v>1</v>
      </c>
    </row>
    <row r="57" spans="1:3" ht="15">
      <c r="A57" s="111" t="s">
        <v>2403</v>
      </c>
      <c r="B57" s="111" t="s">
        <v>2403</v>
      </c>
      <c r="C57" s="31">
        <v>1</v>
      </c>
    </row>
    <row r="58" spans="1:3" ht="15">
      <c r="A58" s="111" t="s">
        <v>2404</v>
      </c>
      <c r="B58" s="111" t="s">
        <v>2404</v>
      </c>
      <c r="C58" s="31">
        <v>1</v>
      </c>
    </row>
    <row r="59" spans="1:3" ht="15">
      <c r="A59" s="111" t="s">
        <v>2405</v>
      </c>
      <c r="B59" s="111" t="s">
        <v>2405</v>
      </c>
      <c r="C59" s="31">
        <v>1</v>
      </c>
    </row>
    <row r="60" spans="1:3" ht="15">
      <c r="A60" s="111" t="s">
        <v>2406</v>
      </c>
      <c r="B60" s="111" t="s">
        <v>2406</v>
      </c>
      <c r="C60" s="31">
        <v>1</v>
      </c>
    </row>
    <row r="61" spans="1:3" ht="15">
      <c r="A61" s="111" t="s">
        <v>2407</v>
      </c>
      <c r="B61" s="111" t="s">
        <v>2407</v>
      </c>
      <c r="C61" s="31">
        <v>2</v>
      </c>
    </row>
    <row r="62" spans="1:3" ht="15">
      <c r="A62" s="111" t="s">
        <v>2408</v>
      </c>
      <c r="B62" s="111" t="s">
        <v>2408</v>
      </c>
      <c r="C62" s="31">
        <v>1</v>
      </c>
    </row>
    <row r="63" spans="1:3" ht="15">
      <c r="A63" s="111" t="s">
        <v>2409</v>
      </c>
      <c r="B63" s="111" t="s">
        <v>2409</v>
      </c>
      <c r="C63" s="31">
        <v>2</v>
      </c>
    </row>
    <row r="64" spans="1:3" ht="15">
      <c r="A64" s="111" t="s">
        <v>2410</v>
      </c>
      <c r="B64" s="111" t="s">
        <v>2410</v>
      </c>
      <c r="C64" s="31">
        <v>2</v>
      </c>
    </row>
    <row r="65" spans="1:3" ht="15">
      <c r="A65" s="111" t="s">
        <v>2411</v>
      </c>
      <c r="B65" s="111" t="s">
        <v>2411</v>
      </c>
      <c r="C65" s="31">
        <v>1</v>
      </c>
    </row>
    <row r="66" spans="1:3" ht="15">
      <c r="A66" s="111" t="s">
        <v>2412</v>
      </c>
      <c r="B66" s="111" t="s">
        <v>2412</v>
      </c>
      <c r="C66"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28F43-844F-4395-9BCD-28EF20133BD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10972</v>
      </c>
      <c r="B1" s="7" t="s">
        <v>17</v>
      </c>
    </row>
    <row r="2" spans="1:2" ht="15">
      <c r="A2" s="76" t="s">
        <v>10973</v>
      </c>
      <c r="B2" s="76" t="s">
        <v>10978</v>
      </c>
    </row>
    <row r="3" spans="1:2" ht="15">
      <c r="A3" s="77" t="s">
        <v>10974</v>
      </c>
      <c r="B3" s="76" t="s">
        <v>10979</v>
      </c>
    </row>
    <row r="4" spans="1:2" ht="15">
      <c r="A4" s="77" t="s">
        <v>10975</v>
      </c>
      <c r="B4" s="76" t="s">
        <v>10980</v>
      </c>
    </row>
    <row r="5" spans="1:2" ht="15">
      <c r="A5" s="77" t="s">
        <v>10976</v>
      </c>
      <c r="B5" s="76" t="s">
        <v>10981</v>
      </c>
    </row>
    <row r="6" spans="1:2" ht="15">
      <c r="A6" s="77" t="s">
        <v>10977</v>
      </c>
      <c r="B6" s="76" t="s">
        <v>10982</v>
      </c>
    </row>
    <row r="7" spans="1:2" ht="15">
      <c r="A7" s="77" t="s">
        <v>1310</v>
      </c>
      <c r="B7" s="76" t="s">
        <v>10983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2E861-9119-475D-9935-BF652C49C73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10984</v>
      </c>
      <c r="B1" s="7" t="s">
        <v>34</v>
      </c>
    </row>
    <row r="2" spans="1:2" ht="15">
      <c r="A2" s="103" t="s">
        <v>319</v>
      </c>
      <c r="B2" s="76">
        <v>104</v>
      </c>
    </row>
    <row r="3" spans="1:2" ht="15">
      <c r="A3" s="107" t="s">
        <v>350</v>
      </c>
      <c r="B3" s="76">
        <v>88</v>
      </c>
    </row>
    <row r="4" spans="1:2" ht="15">
      <c r="A4" s="107" t="s">
        <v>246</v>
      </c>
      <c r="B4" s="76">
        <v>82</v>
      </c>
    </row>
    <row r="5" spans="1:2" ht="15">
      <c r="A5" s="107" t="s">
        <v>298</v>
      </c>
      <c r="B5" s="76">
        <v>64</v>
      </c>
    </row>
    <row r="6" spans="1:2" ht="15">
      <c r="A6" s="107" t="s">
        <v>265</v>
      </c>
      <c r="B6" s="76">
        <v>54</v>
      </c>
    </row>
    <row r="7" spans="1:2" ht="15">
      <c r="A7" s="107" t="s">
        <v>376</v>
      </c>
      <c r="B7" s="76">
        <v>40</v>
      </c>
    </row>
    <row r="8" spans="1:2" ht="15">
      <c r="A8" s="107" t="s">
        <v>268</v>
      </c>
      <c r="B8" s="76">
        <v>38</v>
      </c>
    </row>
    <row r="9" spans="1:2" ht="15">
      <c r="A9" s="107" t="s">
        <v>288</v>
      </c>
      <c r="B9" s="76">
        <v>30</v>
      </c>
    </row>
    <row r="10" spans="1:2" ht="15">
      <c r="A10" s="107" t="s">
        <v>316</v>
      </c>
      <c r="B10" s="76">
        <v>22</v>
      </c>
    </row>
    <row r="11" spans="1:2" ht="15">
      <c r="A11" s="107" t="s">
        <v>304</v>
      </c>
      <c r="B11" s="76">
        <v>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7C781-8450-45B5-9B9D-35F3E36196EA}">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2348</v>
      </c>
      <c r="BK2" s="7" t="s">
        <v>2426</v>
      </c>
      <c r="BL2" s="7" t="s">
        <v>2427</v>
      </c>
      <c r="BM2" s="50" t="s">
        <v>2812</v>
      </c>
      <c r="BN2" s="50" t="s">
        <v>2813</v>
      </c>
      <c r="BO2" s="50" t="s">
        <v>2814</v>
      </c>
      <c r="BP2" s="50" t="s">
        <v>2815</v>
      </c>
      <c r="BQ2" s="50" t="s">
        <v>2816</v>
      </c>
      <c r="BR2" s="50" t="s">
        <v>2817</v>
      </c>
      <c r="BS2" s="50" t="s">
        <v>2818</v>
      </c>
      <c r="BT2" s="50" t="s">
        <v>2819</v>
      </c>
      <c r="BU2" s="50" t="s">
        <v>2820</v>
      </c>
    </row>
    <row r="3" spans="1:73" ht="15" customHeight="1">
      <c r="A3" s="61" t="s">
        <v>339</v>
      </c>
      <c r="B3" s="61" t="s">
        <v>436</v>
      </c>
      <c r="C3" s="62"/>
      <c r="D3" s="63"/>
      <c r="E3" s="64"/>
      <c r="F3" s="65"/>
      <c r="G3" s="62"/>
      <c r="H3" s="66"/>
      <c r="I3" s="67"/>
      <c r="J3" s="67"/>
      <c r="K3" s="31" t="s">
        <v>65</v>
      </c>
      <c r="L3" s="68">
        <v>3</v>
      </c>
      <c r="M3" s="68"/>
      <c r="N3" s="69"/>
      <c r="O3" s="76" t="s">
        <v>440</v>
      </c>
      <c r="P3" s="78">
        <v>45317.12064814815</v>
      </c>
      <c r="Q3" s="76" t="s">
        <v>581</v>
      </c>
      <c r="R3" s="76">
        <v>0</v>
      </c>
      <c r="S3" s="76">
        <v>5</v>
      </c>
      <c r="T3" s="76">
        <v>0</v>
      </c>
      <c r="U3" s="76">
        <v>0</v>
      </c>
      <c r="V3" s="76">
        <v>432</v>
      </c>
      <c r="W3" s="80" t="s">
        <v>597</v>
      </c>
      <c r="X3" s="82" t="str">
        <f>HYPERLINK("https://www.oregoncapitalinsider.com/news/oregon-insiders-whos-who-in-and-around-state-government/article_787328d4-bbde-11ee-b340-8b6c5845b41d.html?utm_medium=social&amp;utm_source=twitter&amp;utm_campaign=user-share")</f>
        <v>https://www.oregoncapitalinsider.com/news/oregon-insiders-whos-who-in-and-around-state-government/article_787328d4-bbde-11ee-b340-8b6c5845b41d.html?utm_medium=social&amp;utm_source=twitter&amp;utm_campaign=user-share</v>
      </c>
      <c r="Y3" s="76" t="s">
        <v>620</v>
      </c>
      <c r="Z3" s="76" t="s">
        <v>436</v>
      </c>
      <c r="AA3" s="76"/>
      <c r="AB3" s="76"/>
      <c r="AC3" s="80" t="s">
        <v>675</v>
      </c>
      <c r="AD3" s="76" t="s">
        <v>686</v>
      </c>
      <c r="AE3" s="82" t="str">
        <f>HYPERLINK("https://twitter.com/dickhughes/status/1750713601894003103")</f>
        <v>https://twitter.com/dickhughes/status/1750713601894003103</v>
      </c>
      <c r="AF3" s="78">
        <v>45317.12064814815</v>
      </c>
      <c r="AG3" s="84">
        <v>45317</v>
      </c>
      <c r="AH3" s="80" t="s">
        <v>826</v>
      </c>
      <c r="AI3" s="76" t="b">
        <v>0</v>
      </c>
      <c r="AJ3" s="76"/>
      <c r="AK3" s="76"/>
      <c r="AL3" s="76"/>
      <c r="AM3" s="76"/>
      <c r="AN3" s="76"/>
      <c r="AO3" s="76"/>
      <c r="AP3" s="76"/>
      <c r="AQ3" s="76"/>
      <c r="AR3" s="76"/>
      <c r="AS3" s="76"/>
      <c r="AT3" s="76"/>
      <c r="AU3" s="76"/>
      <c r="AV3" s="82" t="str">
        <f>HYPERLINK("https://pbs.twimg.com/profile_images/59386571/DickHughes_normal.jpg")</f>
        <v>https://pbs.twimg.com/profile_images/59386571/DickHughes_normal.jpg</v>
      </c>
      <c r="AW3" s="80" t="s">
        <v>1080</v>
      </c>
      <c r="AX3" s="80" t="s">
        <v>1080</v>
      </c>
      <c r="AY3" s="76"/>
      <c r="AZ3" s="80" t="s">
        <v>1210</v>
      </c>
      <c r="BA3" s="80" t="s">
        <v>1210</v>
      </c>
      <c r="BB3" s="80" t="s">
        <v>1210</v>
      </c>
      <c r="BC3" s="80" t="s">
        <v>1080</v>
      </c>
      <c r="BD3" s="76">
        <v>16121482</v>
      </c>
      <c r="BE3" s="76"/>
      <c r="BF3" s="76"/>
      <c r="BG3" s="76"/>
      <c r="BH3" s="76"/>
      <c r="BI3" s="76"/>
      <c r="BJ3">
        <v>1</v>
      </c>
      <c r="BK3" s="76" t="str">
        <f>REPLACE(INDEX(GroupVertices[Group],MATCH("~"&amp;Edges27[[#This Row],[Vertex 1]],GroupVertices[Vertex],0)),1,1,"")</f>
        <v>64</v>
      </c>
      <c r="BL3" s="76" t="str">
        <f>REPLACE(INDEX(GroupVertices[Group],MATCH("~"&amp;Edges27[[#This Row],[Vertex 2]],GroupVertices[Vertex],0)),1,1,"")</f>
        <v>64</v>
      </c>
      <c r="BM3" s="45">
        <v>0</v>
      </c>
      <c r="BN3" s="46">
        <v>0</v>
      </c>
      <c r="BO3" s="45">
        <v>2</v>
      </c>
      <c r="BP3" s="46">
        <v>6.666666666666667</v>
      </c>
      <c r="BQ3" s="45">
        <v>0</v>
      </c>
      <c r="BR3" s="46">
        <v>0</v>
      </c>
      <c r="BS3" s="45">
        <v>14</v>
      </c>
      <c r="BT3" s="46">
        <v>46.666666666666664</v>
      </c>
      <c r="BU3" s="45">
        <v>30</v>
      </c>
    </row>
    <row r="4" spans="1:73" ht="15" customHeight="1">
      <c r="A4" s="61" t="s">
        <v>223</v>
      </c>
      <c r="B4" s="61" t="s">
        <v>340</v>
      </c>
      <c r="C4" s="62"/>
      <c r="D4" s="63"/>
      <c r="E4" s="64"/>
      <c r="F4" s="65"/>
      <c r="G4" s="62"/>
      <c r="H4" s="66"/>
      <c r="I4" s="67"/>
      <c r="J4" s="67"/>
      <c r="K4" s="31" t="s">
        <v>65</v>
      </c>
      <c r="L4" s="75">
        <v>4</v>
      </c>
      <c r="M4" s="75"/>
      <c r="N4" s="69"/>
      <c r="O4" s="77" t="s">
        <v>437</v>
      </c>
      <c r="P4" s="79">
        <v>45032.94793981482</v>
      </c>
      <c r="Q4" s="77" t="s">
        <v>442</v>
      </c>
      <c r="R4" s="77">
        <v>0</v>
      </c>
      <c r="S4" s="77">
        <v>0</v>
      </c>
      <c r="T4" s="77">
        <v>1</v>
      </c>
      <c r="U4" s="77">
        <v>0</v>
      </c>
      <c r="V4" s="77">
        <v>36</v>
      </c>
      <c r="W4" s="77"/>
      <c r="X4" s="77"/>
      <c r="Y4" s="77"/>
      <c r="Z4" s="77" t="s">
        <v>621</v>
      </c>
      <c r="AA4" s="77" t="s">
        <v>647</v>
      </c>
      <c r="AB4" s="77" t="s">
        <v>669</v>
      </c>
      <c r="AC4" s="81" t="s">
        <v>674</v>
      </c>
      <c r="AD4" s="77" t="s">
        <v>686</v>
      </c>
      <c r="AE4" s="83" t="str">
        <f>HYPERLINK("https://twitter.com/2020insofewways/status/1647732862085660673")</f>
        <v>https://twitter.com/2020insofewways/status/1647732862085660673</v>
      </c>
      <c r="AF4" s="79">
        <v>45032.94793981482</v>
      </c>
      <c r="AG4" s="85">
        <v>45032</v>
      </c>
      <c r="AH4" s="81" t="s">
        <v>687</v>
      </c>
      <c r="AI4" s="77" t="b">
        <v>0</v>
      </c>
      <c r="AJ4" s="77" t="s">
        <v>827</v>
      </c>
      <c r="AK4" s="77" t="s">
        <v>849</v>
      </c>
      <c r="AL4" s="77" t="s">
        <v>850</v>
      </c>
      <c r="AM4" s="77" t="s">
        <v>851</v>
      </c>
      <c r="AN4" s="77" t="s">
        <v>873</v>
      </c>
      <c r="AO4" s="77" t="s">
        <v>895</v>
      </c>
      <c r="AP4" s="77" t="s">
        <v>917</v>
      </c>
      <c r="AQ4" s="77" t="s">
        <v>918</v>
      </c>
      <c r="AR4" s="77"/>
      <c r="AS4" s="77"/>
      <c r="AT4" s="77"/>
      <c r="AU4" s="77"/>
      <c r="AV4" s="83" t="str">
        <f>HYPERLINK("https://pbs.twimg.com/media/Ft3sTYhaAAA0pI6.jpg")</f>
        <v>https://pbs.twimg.com/media/Ft3sTYhaAAA0pI6.jpg</v>
      </c>
      <c r="AW4" s="81" t="s">
        <v>940</v>
      </c>
      <c r="AX4" s="81" t="s">
        <v>1081</v>
      </c>
      <c r="AY4" s="81" t="s">
        <v>1145</v>
      </c>
      <c r="AZ4" s="81" t="s">
        <v>1207</v>
      </c>
      <c r="BA4" s="81" t="s">
        <v>1210</v>
      </c>
      <c r="BB4" s="81" t="s">
        <v>1210</v>
      </c>
      <c r="BC4" s="81" t="s">
        <v>1207</v>
      </c>
      <c r="BD4" s="77">
        <v>2303676979</v>
      </c>
      <c r="BE4" s="77"/>
      <c r="BF4" s="77"/>
      <c r="BG4" s="77"/>
      <c r="BH4" s="77"/>
      <c r="BI4" s="77"/>
      <c r="BJ4">
        <v>1</v>
      </c>
      <c r="BK4" s="76" t="str">
        <f>REPLACE(INDEX(GroupVertices[Group],MATCH("~"&amp;Edges27[[#This Row],[Vertex 1]],GroupVertices[Vertex],0)),1,1,"")</f>
        <v>23</v>
      </c>
      <c r="BL4" s="76" t="str">
        <f>REPLACE(INDEX(GroupVertices[Group],MATCH("~"&amp;Edges27[[#This Row],[Vertex 2]],GroupVertices[Vertex],0)),1,1,"")</f>
        <v>23</v>
      </c>
      <c r="BM4" s="45"/>
      <c r="BN4" s="46"/>
      <c r="BO4" s="45"/>
      <c r="BP4" s="46"/>
      <c r="BQ4" s="45"/>
      <c r="BR4" s="46"/>
      <c r="BS4" s="45"/>
      <c r="BT4" s="46"/>
      <c r="BU4" s="45"/>
    </row>
    <row r="5" spans="1:73" ht="15">
      <c r="A5" s="61" t="s">
        <v>224</v>
      </c>
      <c r="B5" s="61" t="s">
        <v>224</v>
      </c>
      <c r="C5" s="62"/>
      <c r="D5" s="63"/>
      <c r="E5" s="64"/>
      <c r="F5" s="65"/>
      <c r="G5" s="62"/>
      <c r="H5" s="66"/>
      <c r="I5" s="67"/>
      <c r="J5" s="67"/>
      <c r="K5" s="31" t="s">
        <v>65</v>
      </c>
      <c r="L5" s="75">
        <v>6</v>
      </c>
      <c r="M5" s="75"/>
      <c r="N5" s="69"/>
      <c r="O5" s="77" t="s">
        <v>438</v>
      </c>
      <c r="P5" s="79">
        <v>45317.80732638889</v>
      </c>
      <c r="Q5" s="77" t="s">
        <v>443</v>
      </c>
      <c r="R5" s="77">
        <v>0</v>
      </c>
      <c r="S5" s="77">
        <v>15</v>
      </c>
      <c r="T5" s="77">
        <v>0</v>
      </c>
      <c r="U5" s="77">
        <v>0</v>
      </c>
      <c r="V5" s="77">
        <v>829</v>
      </c>
      <c r="W5" s="81" t="s">
        <v>582</v>
      </c>
      <c r="X5" s="77"/>
      <c r="Y5" s="77"/>
      <c r="Z5" s="77"/>
      <c r="AA5" s="77"/>
      <c r="AB5" s="77"/>
      <c r="AC5" s="81" t="s">
        <v>675</v>
      </c>
      <c r="AD5" s="77" t="s">
        <v>686</v>
      </c>
      <c r="AE5" s="83" t="str">
        <f>HYPERLINK("https://twitter.com/phuocerman/status/1750962446632952121")</f>
        <v>https://twitter.com/phuocerman/status/1750962446632952121</v>
      </c>
      <c r="AF5" s="79">
        <v>45317.80732638889</v>
      </c>
      <c r="AG5" s="85">
        <v>45317</v>
      </c>
      <c r="AH5" s="81" t="s">
        <v>688</v>
      </c>
      <c r="AI5" s="77"/>
      <c r="AJ5" s="77"/>
      <c r="AK5" s="77"/>
      <c r="AL5" s="77"/>
      <c r="AM5" s="77"/>
      <c r="AN5" s="77"/>
      <c r="AO5" s="77"/>
      <c r="AP5" s="77"/>
      <c r="AQ5" s="77"/>
      <c r="AR5" s="77"/>
      <c r="AS5" s="77"/>
      <c r="AT5" s="77"/>
      <c r="AU5" s="77"/>
      <c r="AV5" s="83" t="str">
        <f>HYPERLINK("https://pbs.twimg.com/profile_images/1614771517572943873/1w3x1ejV_normal.jpg")</f>
        <v>https://pbs.twimg.com/profile_images/1614771517572943873/1w3x1ejV_normal.jpg</v>
      </c>
      <c r="AW5" s="81" t="s">
        <v>941</v>
      </c>
      <c r="AX5" s="81" t="s">
        <v>1082</v>
      </c>
      <c r="AY5" s="81" t="s">
        <v>1146</v>
      </c>
      <c r="AZ5" s="81" t="s">
        <v>1082</v>
      </c>
      <c r="BA5" s="81" t="s">
        <v>1210</v>
      </c>
      <c r="BB5" s="81" t="s">
        <v>1210</v>
      </c>
      <c r="BC5" s="81" t="s">
        <v>1082</v>
      </c>
      <c r="BD5" s="77">
        <v>1391199295</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3</v>
      </c>
      <c r="BN5" s="46">
        <v>6.122448979591836</v>
      </c>
      <c r="BO5" s="45">
        <v>2</v>
      </c>
      <c r="BP5" s="46">
        <v>4.081632653061225</v>
      </c>
      <c r="BQ5" s="45">
        <v>0</v>
      </c>
      <c r="BR5" s="46">
        <v>0</v>
      </c>
      <c r="BS5" s="45">
        <v>19</v>
      </c>
      <c r="BT5" s="46">
        <v>38.775510204081634</v>
      </c>
      <c r="BU5" s="45">
        <v>49</v>
      </c>
    </row>
    <row r="6" spans="1:73" ht="15">
      <c r="A6" s="61" t="s">
        <v>225</v>
      </c>
      <c r="B6" s="61" t="s">
        <v>342</v>
      </c>
      <c r="C6" s="62"/>
      <c r="D6" s="63"/>
      <c r="E6" s="64"/>
      <c r="F6" s="65"/>
      <c r="G6" s="62"/>
      <c r="H6" s="66"/>
      <c r="I6" s="67"/>
      <c r="J6" s="67"/>
      <c r="K6" s="31" t="s">
        <v>65</v>
      </c>
      <c r="L6" s="75">
        <v>7</v>
      </c>
      <c r="M6" s="75"/>
      <c r="N6" s="69"/>
      <c r="O6" s="77" t="s">
        <v>437</v>
      </c>
      <c r="P6" s="79">
        <v>45313.779502314814</v>
      </c>
      <c r="Q6" s="77" t="s">
        <v>444</v>
      </c>
      <c r="R6" s="77">
        <v>0</v>
      </c>
      <c r="S6" s="77">
        <v>0</v>
      </c>
      <c r="T6" s="77">
        <v>1</v>
      </c>
      <c r="U6" s="77">
        <v>0</v>
      </c>
      <c r="V6" s="77">
        <v>38</v>
      </c>
      <c r="W6" s="77"/>
      <c r="X6" s="77"/>
      <c r="Y6" s="77"/>
      <c r="Z6" s="77" t="s">
        <v>622</v>
      </c>
      <c r="AA6" s="77"/>
      <c r="AB6" s="77"/>
      <c r="AC6" s="81" t="s">
        <v>674</v>
      </c>
      <c r="AD6" s="77" t="s">
        <v>686</v>
      </c>
      <c r="AE6" s="83" t="str">
        <f>HYPERLINK("https://twitter.com/kibongerawlins/status/1749502813778882575")</f>
        <v>https://twitter.com/kibongerawlins/status/1749502813778882575</v>
      </c>
      <c r="AF6" s="79">
        <v>45313.779502314814</v>
      </c>
      <c r="AG6" s="85">
        <v>45313</v>
      </c>
      <c r="AH6" s="81" t="s">
        <v>689</v>
      </c>
      <c r="AI6" s="77"/>
      <c r="AJ6" s="77"/>
      <c r="AK6" s="77"/>
      <c r="AL6" s="77"/>
      <c r="AM6" s="77"/>
      <c r="AN6" s="77"/>
      <c r="AO6" s="77"/>
      <c r="AP6" s="77"/>
      <c r="AQ6" s="77"/>
      <c r="AR6" s="77"/>
      <c r="AS6" s="77"/>
      <c r="AT6" s="77"/>
      <c r="AU6" s="77"/>
      <c r="AV6" s="83" t="str">
        <f>HYPERLINK("https://pbs.twimg.com/profile_images/1410598537373442062/N1DQR-ZW_normal.jpg")</f>
        <v>https://pbs.twimg.com/profile_images/1410598537373442062/N1DQR-ZW_normal.jpg</v>
      </c>
      <c r="AW6" s="81" t="s">
        <v>942</v>
      </c>
      <c r="AX6" s="81" t="s">
        <v>1083</v>
      </c>
      <c r="AY6" s="81" t="s">
        <v>1147</v>
      </c>
      <c r="AZ6" s="81" t="s">
        <v>1208</v>
      </c>
      <c r="BA6" s="81" t="s">
        <v>1210</v>
      </c>
      <c r="BB6" s="81" t="s">
        <v>1210</v>
      </c>
      <c r="BC6" s="81" t="s">
        <v>1208</v>
      </c>
      <c r="BD6" s="81" t="s">
        <v>1236</v>
      </c>
      <c r="BE6" s="77"/>
      <c r="BF6" s="77"/>
      <c r="BG6" s="77"/>
      <c r="BH6" s="77"/>
      <c r="BI6" s="77"/>
      <c r="BJ6">
        <v>1</v>
      </c>
      <c r="BK6" s="76" t="str">
        <f>REPLACE(INDEX(GroupVertices[Group],MATCH("~"&amp;Edges27[[#This Row],[Vertex 1]],GroupVertices[Vertex],0)),1,1,"")</f>
        <v>6</v>
      </c>
      <c r="BL6" s="76" t="str">
        <f>REPLACE(INDEX(GroupVertices[Group],MATCH("~"&amp;Edges27[[#This Row],[Vertex 2]],GroupVertices[Vertex],0)),1,1,"")</f>
        <v>6</v>
      </c>
      <c r="BM6" s="45"/>
      <c r="BN6" s="46"/>
      <c r="BO6" s="45"/>
      <c r="BP6" s="46"/>
      <c r="BQ6" s="45"/>
      <c r="BR6" s="46"/>
      <c r="BS6" s="45"/>
      <c r="BT6" s="46"/>
      <c r="BU6" s="45"/>
    </row>
    <row r="7" spans="1:73" ht="15">
      <c r="A7" s="61" t="s">
        <v>226</v>
      </c>
      <c r="B7" s="61" t="s">
        <v>304</v>
      </c>
      <c r="C7" s="62"/>
      <c r="D7" s="63"/>
      <c r="E7" s="64"/>
      <c r="F7" s="65"/>
      <c r="G7" s="62"/>
      <c r="H7" s="66"/>
      <c r="I7" s="67"/>
      <c r="J7" s="67"/>
      <c r="K7" s="31" t="s">
        <v>65</v>
      </c>
      <c r="L7" s="75">
        <v>12</v>
      </c>
      <c r="M7" s="75"/>
      <c r="N7" s="69"/>
      <c r="O7" s="77" t="s">
        <v>438</v>
      </c>
      <c r="P7" s="79">
        <v>45319.86059027778</v>
      </c>
      <c r="Q7" s="77" t="s">
        <v>445</v>
      </c>
      <c r="R7" s="77">
        <v>0</v>
      </c>
      <c r="S7" s="77">
        <v>3</v>
      </c>
      <c r="T7" s="77">
        <v>0</v>
      </c>
      <c r="U7" s="77">
        <v>0</v>
      </c>
      <c r="V7" s="77">
        <v>14</v>
      </c>
      <c r="W7" s="77"/>
      <c r="X7" s="77"/>
      <c r="Y7" s="77"/>
      <c r="Z7" s="77" t="s">
        <v>304</v>
      </c>
      <c r="AA7" s="77"/>
      <c r="AB7" s="77"/>
      <c r="AC7" s="81" t="s">
        <v>674</v>
      </c>
      <c r="AD7" s="77" t="s">
        <v>686</v>
      </c>
      <c r="AE7" s="83" t="str">
        <f>HYPERLINK("https://twitter.com/cmpaugh/status/1751706524765069614")</f>
        <v>https://twitter.com/cmpaugh/status/1751706524765069614</v>
      </c>
      <c r="AF7" s="79">
        <v>45319.86059027778</v>
      </c>
      <c r="AG7" s="85">
        <v>45319</v>
      </c>
      <c r="AH7" s="81" t="s">
        <v>690</v>
      </c>
      <c r="AI7" s="77"/>
      <c r="AJ7" s="77"/>
      <c r="AK7" s="77"/>
      <c r="AL7" s="77"/>
      <c r="AM7" s="77"/>
      <c r="AN7" s="77"/>
      <c r="AO7" s="77"/>
      <c r="AP7" s="77"/>
      <c r="AQ7" s="77"/>
      <c r="AR7" s="77"/>
      <c r="AS7" s="77"/>
      <c r="AT7" s="77"/>
      <c r="AU7" s="77"/>
      <c r="AV7" s="83" t="str">
        <f>HYPERLINK("https://pbs.twimg.com/profile_images/1692720763089170432/Vvzvw93K_normal.jpg")</f>
        <v>https://pbs.twimg.com/profile_images/1692720763089170432/Vvzvw93K_normal.jpg</v>
      </c>
      <c r="AW7" s="81" t="s">
        <v>943</v>
      </c>
      <c r="AX7" s="81" t="s">
        <v>1029</v>
      </c>
      <c r="AY7" s="81" t="s">
        <v>1148</v>
      </c>
      <c r="AZ7" s="81" t="s">
        <v>1029</v>
      </c>
      <c r="BA7" s="81" t="s">
        <v>1210</v>
      </c>
      <c r="BB7" s="81" t="s">
        <v>1210</v>
      </c>
      <c r="BC7" s="81" t="s">
        <v>1029</v>
      </c>
      <c r="BD7" s="77">
        <v>17674946</v>
      </c>
      <c r="BE7" s="77"/>
      <c r="BF7" s="77"/>
      <c r="BG7" s="77"/>
      <c r="BH7" s="77"/>
      <c r="BI7" s="77"/>
      <c r="BJ7">
        <v>1</v>
      </c>
      <c r="BK7" s="76" t="str">
        <f>REPLACE(INDEX(GroupVertices[Group],MATCH("~"&amp;Edges27[[#This Row],[Vertex 1]],GroupVertices[Vertex],0)),1,1,"")</f>
        <v>2</v>
      </c>
      <c r="BL7" s="76" t="str">
        <f>REPLACE(INDEX(GroupVertices[Group],MATCH("~"&amp;Edges27[[#This Row],[Vertex 2]],GroupVertices[Vertex],0)),1,1,"")</f>
        <v>2</v>
      </c>
      <c r="BM7" s="45">
        <v>1</v>
      </c>
      <c r="BN7" s="46">
        <v>4.166666666666667</v>
      </c>
      <c r="BO7" s="45">
        <v>2</v>
      </c>
      <c r="BP7" s="46">
        <v>8.333333333333334</v>
      </c>
      <c r="BQ7" s="45">
        <v>0</v>
      </c>
      <c r="BR7" s="46">
        <v>0</v>
      </c>
      <c r="BS7" s="45">
        <v>11</v>
      </c>
      <c r="BT7" s="46">
        <v>45.833333333333336</v>
      </c>
      <c r="BU7" s="45">
        <v>24</v>
      </c>
    </row>
    <row r="8" spans="1:73" ht="15">
      <c r="A8" s="61" t="s">
        <v>227</v>
      </c>
      <c r="B8" s="61" t="s">
        <v>347</v>
      </c>
      <c r="C8" s="62"/>
      <c r="D8" s="63"/>
      <c r="E8" s="64"/>
      <c r="F8" s="65"/>
      <c r="G8" s="62"/>
      <c r="H8" s="66"/>
      <c r="I8" s="67"/>
      <c r="J8" s="67"/>
      <c r="K8" s="31" t="s">
        <v>65</v>
      </c>
      <c r="L8" s="75">
        <v>13</v>
      </c>
      <c r="M8" s="75"/>
      <c r="N8" s="69"/>
      <c r="O8" s="77" t="s">
        <v>437</v>
      </c>
      <c r="P8" s="79">
        <v>45294.65290509259</v>
      </c>
      <c r="Q8" s="77" t="s">
        <v>446</v>
      </c>
      <c r="R8" s="77">
        <v>3</v>
      </c>
      <c r="S8" s="77">
        <v>11</v>
      </c>
      <c r="T8" s="77">
        <v>3</v>
      </c>
      <c r="U8" s="77">
        <v>0</v>
      </c>
      <c r="V8" s="77">
        <v>1547</v>
      </c>
      <c r="W8" s="77"/>
      <c r="X8" s="77"/>
      <c r="Y8" s="77"/>
      <c r="Z8" s="77" t="s">
        <v>623</v>
      </c>
      <c r="AA8" s="77"/>
      <c r="AB8" s="77"/>
      <c r="AC8" s="81" t="s">
        <v>674</v>
      </c>
      <c r="AD8" s="77" t="s">
        <v>686</v>
      </c>
      <c r="AE8" s="83" t="str">
        <f>HYPERLINK("https://twitter.com/byronstine/status/1742571564724564246")</f>
        <v>https://twitter.com/byronstine/status/1742571564724564246</v>
      </c>
      <c r="AF8" s="79">
        <v>45294.65290509259</v>
      </c>
      <c r="AG8" s="85">
        <v>45294</v>
      </c>
      <c r="AH8" s="81" t="s">
        <v>691</v>
      </c>
      <c r="AI8" s="77"/>
      <c r="AJ8" s="77" t="s">
        <v>828</v>
      </c>
      <c r="AK8" s="77" t="s">
        <v>849</v>
      </c>
      <c r="AL8" s="77" t="s">
        <v>850</v>
      </c>
      <c r="AM8" s="77" t="s">
        <v>852</v>
      </c>
      <c r="AN8" s="77" t="s">
        <v>874</v>
      </c>
      <c r="AO8" s="77" t="s">
        <v>896</v>
      </c>
      <c r="AP8" s="77" t="s">
        <v>917</v>
      </c>
      <c r="AQ8" s="77"/>
      <c r="AR8" s="77"/>
      <c r="AS8" s="77"/>
      <c r="AT8" s="77"/>
      <c r="AU8" s="77"/>
      <c r="AV8" s="83" t="str">
        <f>HYPERLINK("https://pbs.twimg.com/profile_images/1451946612788383755/nXpcsSb4_normal.png")</f>
        <v>https://pbs.twimg.com/profile_images/1451946612788383755/nXpcsSb4_normal.png</v>
      </c>
      <c r="AW8" s="81" t="s">
        <v>944</v>
      </c>
      <c r="AX8" s="81" t="s">
        <v>1084</v>
      </c>
      <c r="AY8" s="81" t="s">
        <v>1149</v>
      </c>
      <c r="AZ8" s="81" t="s">
        <v>1209</v>
      </c>
      <c r="BA8" s="81" t="s">
        <v>1210</v>
      </c>
      <c r="BB8" s="81" t="s">
        <v>1210</v>
      </c>
      <c r="BC8" s="81" t="s">
        <v>1209</v>
      </c>
      <c r="BD8" s="81" t="s">
        <v>1237</v>
      </c>
      <c r="BE8" s="77"/>
      <c r="BF8" s="77"/>
      <c r="BG8" s="77"/>
      <c r="BH8" s="77"/>
      <c r="BI8" s="77"/>
      <c r="BJ8">
        <v>1</v>
      </c>
      <c r="BK8" s="76" t="str">
        <f>REPLACE(INDEX(GroupVertices[Group],MATCH("~"&amp;Edges27[[#This Row],[Vertex 1]],GroupVertices[Vertex],0)),1,1,"")</f>
        <v>22</v>
      </c>
      <c r="BL8" s="76" t="str">
        <f>REPLACE(INDEX(GroupVertices[Group],MATCH("~"&amp;Edges27[[#This Row],[Vertex 2]],GroupVertices[Vertex],0)),1,1,"")</f>
        <v>22</v>
      </c>
      <c r="BM8" s="45"/>
      <c r="BN8" s="46"/>
      <c r="BO8" s="45"/>
      <c r="BP8" s="46"/>
      <c r="BQ8" s="45"/>
      <c r="BR8" s="46"/>
      <c r="BS8" s="45"/>
      <c r="BT8" s="46"/>
      <c r="BU8" s="45"/>
    </row>
    <row r="9" spans="1:73" ht="15">
      <c r="A9" s="61" t="s">
        <v>228</v>
      </c>
      <c r="B9" s="61" t="s">
        <v>349</v>
      </c>
      <c r="C9" s="62"/>
      <c r="D9" s="63"/>
      <c r="E9" s="64"/>
      <c r="F9" s="65"/>
      <c r="G9" s="62"/>
      <c r="H9" s="66"/>
      <c r="I9" s="67"/>
      <c r="J9" s="67"/>
      <c r="K9" s="31" t="s">
        <v>65</v>
      </c>
      <c r="L9" s="75">
        <v>15</v>
      </c>
      <c r="M9" s="75"/>
      <c r="N9" s="69"/>
      <c r="O9" s="77" t="s">
        <v>438</v>
      </c>
      <c r="P9" s="79">
        <v>45314.17297453704</v>
      </c>
      <c r="Q9" s="77" t="s">
        <v>447</v>
      </c>
      <c r="R9" s="77">
        <v>0</v>
      </c>
      <c r="S9" s="77">
        <v>1</v>
      </c>
      <c r="T9" s="77">
        <v>0</v>
      </c>
      <c r="U9" s="77">
        <v>0</v>
      </c>
      <c r="V9" s="77">
        <v>39</v>
      </c>
      <c r="W9" s="77"/>
      <c r="X9" s="77"/>
      <c r="Y9" s="77"/>
      <c r="Z9" s="77" t="s">
        <v>349</v>
      </c>
      <c r="AA9" s="77"/>
      <c r="AB9" s="77"/>
      <c r="AC9" s="81" t="s">
        <v>675</v>
      </c>
      <c r="AD9" s="77" t="s">
        <v>686</v>
      </c>
      <c r="AE9" s="83" t="str">
        <f>HYPERLINK("https://twitter.com/missbeccabenz/status/1749645401077276721")</f>
        <v>https://twitter.com/missbeccabenz/status/1749645401077276721</v>
      </c>
      <c r="AF9" s="79">
        <v>45314.17297453704</v>
      </c>
      <c r="AG9" s="85">
        <v>45314</v>
      </c>
      <c r="AH9" s="81" t="s">
        <v>692</v>
      </c>
      <c r="AI9" s="77"/>
      <c r="AJ9" s="77"/>
      <c r="AK9" s="77"/>
      <c r="AL9" s="77"/>
      <c r="AM9" s="77"/>
      <c r="AN9" s="77"/>
      <c r="AO9" s="77"/>
      <c r="AP9" s="77"/>
      <c r="AQ9" s="77"/>
      <c r="AR9" s="77"/>
      <c r="AS9" s="77"/>
      <c r="AT9" s="77"/>
      <c r="AU9" s="77"/>
      <c r="AV9" s="83" t="str">
        <f>HYPERLINK("https://pbs.twimg.com/profile_images/839986484648194048/DVzAdvFW_normal.jpg")</f>
        <v>https://pbs.twimg.com/profile_images/839986484648194048/DVzAdvFW_normal.jpg</v>
      </c>
      <c r="AW9" s="81" t="s">
        <v>945</v>
      </c>
      <c r="AX9" s="81" t="s">
        <v>1085</v>
      </c>
      <c r="AY9" s="81" t="s">
        <v>1150</v>
      </c>
      <c r="AZ9" s="81" t="s">
        <v>1085</v>
      </c>
      <c r="BA9" s="81" t="s">
        <v>1210</v>
      </c>
      <c r="BB9" s="81" t="s">
        <v>1210</v>
      </c>
      <c r="BC9" s="81" t="s">
        <v>1085</v>
      </c>
      <c r="BD9" s="77">
        <v>2786420790</v>
      </c>
      <c r="BE9" s="77"/>
      <c r="BF9" s="77"/>
      <c r="BG9" s="77"/>
      <c r="BH9" s="77"/>
      <c r="BI9" s="77"/>
      <c r="BJ9">
        <v>1</v>
      </c>
      <c r="BK9" s="76" t="str">
        <f>REPLACE(INDEX(GroupVertices[Group],MATCH("~"&amp;Edges27[[#This Row],[Vertex 1]],GroupVertices[Vertex],0)),1,1,"")</f>
        <v>63</v>
      </c>
      <c r="BL9" s="76" t="str">
        <f>REPLACE(INDEX(GroupVertices[Group],MATCH("~"&amp;Edges27[[#This Row],[Vertex 2]],GroupVertices[Vertex],0)),1,1,"")</f>
        <v>63</v>
      </c>
      <c r="BM9" s="45">
        <v>0</v>
      </c>
      <c r="BN9" s="46">
        <v>0</v>
      </c>
      <c r="BO9" s="45">
        <v>4</v>
      </c>
      <c r="BP9" s="46">
        <v>7.8431372549019605</v>
      </c>
      <c r="BQ9" s="45">
        <v>0</v>
      </c>
      <c r="BR9" s="46">
        <v>0</v>
      </c>
      <c r="BS9" s="45">
        <v>22</v>
      </c>
      <c r="BT9" s="46">
        <v>43.13725490196079</v>
      </c>
      <c r="BU9" s="45">
        <v>51</v>
      </c>
    </row>
    <row r="10" spans="1:73" ht="15">
      <c r="A10" s="61" t="s">
        <v>229</v>
      </c>
      <c r="B10" s="61" t="s">
        <v>229</v>
      </c>
      <c r="C10" s="62"/>
      <c r="D10" s="63"/>
      <c r="E10" s="64"/>
      <c r="F10" s="65"/>
      <c r="G10" s="62"/>
      <c r="H10" s="66"/>
      <c r="I10" s="67"/>
      <c r="J10" s="67"/>
      <c r="K10" s="31" t="s">
        <v>65</v>
      </c>
      <c r="L10" s="75">
        <v>16</v>
      </c>
      <c r="M10" s="75"/>
      <c r="N10" s="69"/>
      <c r="O10" s="77" t="s">
        <v>178</v>
      </c>
      <c r="P10" s="79">
        <v>45313.65094907407</v>
      </c>
      <c r="Q10" s="77" t="s">
        <v>448</v>
      </c>
      <c r="R10" s="77">
        <v>0</v>
      </c>
      <c r="S10" s="77">
        <v>0</v>
      </c>
      <c r="T10" s="77">
        <v>0</v>
      </c>
      <c r="U10" s="77">
        <v>0</v>
      </c>
      <c r="V10" s="77">
        <v>3</v>
      </c>
      <c r="W10" s="77"/>
      <c r="X10" s="83" t="str">
        <f>HYPERLINK("https://apnews.com/article/israel-hamas-war-news-01-21-2024-02caafa092668ecc7ff122229c166807")</f>
        <v>https://apnews.com/article/israel-hamas-war-news-01-21-2024-02caafa092668ecc7ff122229c166807</v>
      </c>
      <c r="Y10" s="77" t="s">
        <v>598</v>
      </c>
      <c r="Z10" s="77"/>
      <c r="AA10" s="77"/>
      <c r="AB10" s="77"/>
      <c r="AC10" s="81" t="s">
        <v>676</v>
      </c>
      <c r="AD10" s="77" t="s">
        <v>686</v>
      </c>
      <c r="AE10" s="83" t="str">
        <f>HYPERLINK("https://twitter.com/progressglobe/status/1749456226981695887")</f>
        <v>https://twitter.com/progressglobe/status/1749456226981695887</v>
      </c>
      <c r="AF10" s="79">
        <v>45313.65094907407</v>
      </c>
      <c r="AG10" s="85">
        <v>45313</v>
      </c>
      <c r="AH10" s="81" t="s">
        <v>693</v>
      </c>
      <c r="AI10" s="77" t="b">
        <v>0</v>
      </c>
      <c r="AJ10" s="77"/>
      <c r="AK10" s="77"/>
      <c r="AL10" s="77"/>
      <c r="AM10" s="77"/>
      <c r="AN10" s="77"/>
      <c r="AO10" s="77"/>
      <c r="AP10" s="77"/>
      <c r="AQ10" s="77"/>
      <c r="AR10" s="77"/>
      <c r="AS10" s="77"/>
      <c r="AT10" s="77"/>
      <c r="AU10" s="77"/>
      <c r="AV10" s="83" t="str">
        <f>HYPERLINK("https://pbs.twimg.com/profile_images/1028322881057382400/YNyPYg4b_normal.jpg")</f>
        <v>https://pbs.twimg.com/profile_images/1028322881057382400/YNyPYg4b_normal.jpg</v>
      </c>
      <c r="AW10" s="81" t="s">
        <v>946</v>
      </c>
      <c r="AX10" s="81" t="s">
        <v>946</v>
      </c>
      <c r="AY10" s="77"/>
      <c r="AZ10" s="81" t="s">
        <v>1210</v>
      </c>
      <c r="BA10" s="81" t="s">
        <v>1210</v>
      </c>
      <c r="BB10" s="81" t="s">
        <v>1210</v>
      </c>
      <c r="BC10" s="81" t="s">
        <v>946</v>
      </c>
      <c r="BD10" s="77">
        <v>705314388</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1</v>
      </c>
      <c r="BM10" s="45">
        <v>0</v>
      </c>
      <c r="BN10" s="46">
        <v>0</v>
      </c>
      <c r="BO10" s="45">
        <v>4</v>
      </c>
      <c r="BP10" s="46">
        <v>25</v>
      </c>
      <c r="BQ10" s="45">
        <v>0</v>
      </c>
      <c r="BR10" s="46">
        <v>0</v>
      </c>
      <c r="BS10" s="45">
        <v>8</v>
      </c>
      <c r="BT10" s="46">
        <v>50</v>
      </c>
      <c r="BU10" s="45">
        <v>16</v>
      </c>
    </row>
    <row r="11" spans="1:73" ht="15">
      <c r="A11" s="61" t="s">
        <v>229</v>
      </c>
      <c r="B11" s="61" t="s">
        <v>229</v>
      </c>
      <c r="C11" s="62"/>
      <c r="D11" s="63"/>
      <c r="E11" s="64"/>
      <c r="F11" s="65"/>
      <c r="G11" s="62"/>
      <c r="H11" s="66"/>
      <c r="I11" s="67"/>
      <c r="J11" s="67"/>
      <c r="K11" s="31" t="s">
        <v>65</v>
      </c>
      <c r="L11" s="75">
        <v>17</v>
      </c>
      <c r="M11" s="75"/>
      <c r="N11" s="69"/>
      <c r="O11" s="77" t="s">
        <v>178</v>
      </c>
      <c r="P11" s="79">
        <v>45312.67209490741</v>
      </c>
      <c r="Q11" s="77" t="s">
        <v>449</v>
      </c>
      <c r="R11" s="77">
        <v>0</v>
      </c>
      <c r="S11" s="77">
        <v>0</v>
      </c>
      <c r="T11" s="77">
        <v>0</v>
      </c>
      <c r="U11" s="77">
        <v>0</v>
      </c>
      <c r="V11" s="77">
        <v>1</v>
      </c>
      <c r="W11" s="77"/>
      <c r="X11" s="83" t="str">
        <f>HYPERLINK("https://www.youtube.com/watch?v=oVWDz6HzozI")</f>
        <v>https://www.youtube.com/watch?v=oVWDz6HzozI</v>
      </c>
      <c r="Y11" s="77" t="s">
        <v>599</v>
      </c>
      <c r="Z11" s="77"/>
      <c r="AA11" s="77"/>
      <c r="AB11" s="77"/>
      <c r="AC11" s="81" t="s">
        <v>676</v>
      </c>
      <c r="AD11" s="77" t="s">
        <v>686</v>
      </c>
      <c r="AE11" s="83" t="str">
        <f>HYPERLINK("https://twitter.com/progressglobe/status/1749101501169926482")</f>
        <v>https://twitter.com/progressglobe/status/1749101501169926482</v>
      </c>
      <c r="AF11" s="79">
        <v>45312.67209490741</v>
      </c>
      <c r="AG11" s="85">
        <v>45312</v>
      </c>
      <c r="AH11" s="81" t="s">
        <v>694</v>
      </c>
      <c r="AI11" s="77" t="b">
        <v>0</v>
      </c>
      <c r="AJ11" s="77"/>
      <c r="AK11" s="77"/>
      <c r="AL11" s="77"/>
      <c r="AM11" s="77"/>
      <c r="AN11" s="77"/>
      <c r="AO11" s="77"/>
      <c r="AP11" s="77"/>
      <c r="AQ11" s="77"/>
      <c r="AR11" s="77"/>
      <c r="AS11" s="77"/>
      <c r="AT11" s="77"/>
      <c r="AU11" s="77"/>
      <c r="AV11" s="83" t="str">
        <f>HYPERLINK("https://pbs.twimg.com/profile_images/1028322881057382400/YNyPYg4b_normal.jpg")</f>
        <v>https://pbs.twimg.com/profile_images/1028322881057382400/YNyPYg4b_normal.jpg</v>
      </c>
      <c r="AW11" s="81" t="s">
        <v>947</v>
      </c>
      <c r="AX11" s="81" t="s">
        <v>947</v>
      </c>
      <c r="AY11" s="77"/>
      <c r="AZ11" s="81" t="s">
        <v>1210</v>
      </c>
      <c r="BA11" s="81" t="s">
        <v>1210</v>
      </c>
      <c r="BB11" s="81" t="s">
        <v>1210</v>
      </c>
      <c r="BC11" s="81" t="s">
        <v>947</v>
      </c>
      <c r="BD11" s="77">
        <v>705314388</v>
      </c>
      <c r="BE11" s="77"/>
      <c r="BF11" s="77"/>
      <c r="BG11" s="77"/>
      <c r="BH11" s="77"/>
      <c r="BI11" s="77"/>
      <c r="BJ11">
        <v>2</v>
      </c>
      <c r="BK11" s="76" t="str">
        <f>REPLACE(INDEX(GroupVertices[Group],MATCH("~"&amp;Edges27[[#This Row],[Vertex 1]],GroupVertices[Vertex],0)),1,1,"")</f>
        <v>1</v>
      </c>
      <c r="BL11" s="76" t="str">
        <f>REPLACE(INDEX(GroupVertices[Group],MATCH("~"&amp;Edges27[[#This Row],[Vertex 2]],GroupVertices[Vertex],0)),1,1,"")</f>
        <v>1</v>
      </c>
      <c r="BM11" s="45">
        <v>0</v>
      </c>
      <c r="BN11" s="46">
        <v>0</v>
      </c>
      <c r="BO11" s="45">
        <v>3</v>
      </c>
      <c r="BP11" s="46">
        <v>25</v>
      </c>
      <c r="BQ11" s="45">
        <v>0</v>
      </c>
      <c r="BR11" s="46">
        <v>0</v>
      </c>
      <c r="BS11" s="45">
        <v>6</v>
      </c>
      <c r="BT11" s="46">
        <v>50</v>
      </c>
      <c r="BU11" s="45">
        <v>12</v>
      </c>
    </row>
    <row r="12" spans="1:73" ht="15">
      <c r="A12" s="61" t="s">
        <v>230</v>
      </c>
      <c r="B12" s="61" t="s">
        <v>328</v>
      </c>
      <c r="C12" s="62"/>
      <c r="D12" s="63"/>
      <c r="E12" s="64"/>
      <c r="F12" s="65"/>
      <c r="G12" s="62"/>
      <c r="H12" s="66"/>
      <c r="I12" s="67"/>
      <c r="J12" s="67"/>
      <c r="K12" s="31" t="s">
        <v>65</v>
      </c>
      <c r="L12" s="75">
        <v>18</v>
      </c>
      <c r="M12" s="75"/>
      <c r="N12" s="69"/>
      <c r="O12" s="77" t="s">
        <v>439</v>
      </c>
      <c r="P12" s="79">
        <v>45293.982777777775</v>
      </c>
      <c r="Q12" s="77" t="s">
        <v>450</v>
      </c>
      <c r="R12" s="77">
        <v>0</v>
      </c>
      <c r="S12" s="77">
        <v>0</v>
      </c>
      <c r="T12" s="77">
        <v>0</v>
      </c>
      <c r="U12" s="77">
        <v>0</v>
      </c>
      <c r="V12" s="77">
        <v>167</v>
      </c>
      <c r="W12" s="77"/>
      <c r="X12" s="77"/>
      <c r="Y12" s="77"/>
      <c r="Z12" s="77"/>
      <c r="AA12" s="77"/>
      <c r="AB12" s="77"/>
      <c r="AC12" s="81" t="s">
        <v>674</v>
      </c>
      <c r="AD12" s="77" t="s">
        <v>686</v>
      </c>
      <c r="AE12" s="83" t="str">
        <f>HYPERLINK("https://twitter.com/2a_allday/status/1742328720814453040")</f>
        <v>https://twitter.com/2a_allday/status/1742328720814453040</v>
      </c>
      <c r="AF12" s="79">
        <v>45293.982777777775</v>
      </c>
      <c r="AG12" s="85">
        <v>45293</v>
      </c>
      <c r="AH12" s="81" t="s">
        <v>695</v>
      </c>
      <c r="AI12" s="77"/>
      <c r="AJ12" s="77" t="s">
        <v>828</v>
      </c>
      <c r="AK12" s="77" t="s">
        <v>849</v>
      </c>
      <c r="AL12" s="77" t="s">
        <v>850</v>
      </c>
      <c r="AM12" s="77" t="s">
        <v>852</v>
      </c>
      <c r="AN12" s="77" t="s">
        <v>874</v>
      </c>
      <c r="AO12" s="77" t="s">
        <v>896</v>
      </c>
      <c r="AP12" s="77" t="s">
        <v>917</v>
      </c>
      <c r="AQ12" s="77"/>
      <c r="AR12" s="77"/>
      <c r="AS12" s="77"/>
      <c r="AT12" s="77"/>
      <c r="AU12" s="77"/>
      <c r="AV12" s="83" t="str">
        <f>HYPERLINK("https://pbs.twimg.com/profile_images/1446504810732085251/PYMrQ9Hh_normal.jpg")</f>
        <v>https://pbs.twimg.com/profile_images/1446504810732085251/PYMrQ9Hh_normal.jpg</v>
      </c>
      <c r="AW12" s="81" t="s">
        <v>948</v>
      </c>
      <c r="AX12" s="81" t="s">
        <v>948</v>
      </c>
      <c r="AY12" s="77"/>
      <c r="AZ12" s="81" t="s">
        <v>1210</v>
      </c>
      <c r="BA12" s="81" t="s">
        <v>1068</v>
      </c>
      <c r="BB12" s="81" t="s">
        <v>1210</v>
      </c>
      <c r="BC12" s="81" t="s">
        <v>1068</v>
      </c>
      <c r="BD12" s="81" t="s">
        <v>1238</v>
      </c>
      <c r="BE12" s="77"/>
      <c r="BF12" s="77"/>
      <c r="BG12" s="77"/>
      <c r="BH12" s="77"/>
      <c r="BI12" s="77"/>
      <c r="BJ12">
        <v>1</v>
      </c>
      <c r="BK12" s="76" t="str">
        <f>REPLACE(INDEX(GroupVertices[Group],MATCH("~"&amp;Edges27[[#This Row],[Vertex 1]],GroupVertices[Vertex],0)),1,1,"")</f>
        <v>11</v>
      </c>
      <c r="BL12" s="76" t="str">
        <f>REPLACE(INDEX(GroupVertices[Group],MATCH("~"&amp;Edges27[[#This Row],[Vertex 2]],GroupVertices[Vertex],0)),1,1,"")</f>
        <v>11</v>
      </c>
      <c r="BM12" s="45">
        <v>1</v>
      </c>
      <c r="BN12" s="46">
        <v>3.4482758620689653</v>
      </c>
      <c r="BO12" s="45">
        <v>4</v>
      </c>
      <c r="BP12" s="46">
        <v>13.793103448275861</v>
      </c>
      <c r="BQ12" s="45">
        <v>0</v>
      </c>
      <c r="BR12" s="46">
        <v>0</v>
      </c>
      <c r="BS12" s="45">
        <v>11</v>
      </c>
      <c r="BT12" s="46">
        <v>37.93103448275862</v>
      </c>
      <c r="BU12" s="45">
        <v>29</v>
      </c>
    </row>
    <row r="13" spans="1:73" ht="15">
      <c r="A13" s="61" t="s">
        <v>231</v>
      </c>
      <c r="B13" s="61" t="s">
        <v>231</v>
      </c>
      <c r="C13" s="62"/>
      <c r="D13" s="63"/>
      <c r="E13" s="64"/>
      <c r="F13" s="65"/>
      <c r="G13" s="62"/>
      <c r="H13" s="66"/>
      <c r="I13" s="67"/>
      <c r="J13" s="67"/>
      <c r="K13" s="31" t="s">
        <v>65</v>
      </c>
      <c r="L13" s="75">
        <v>19</v>
      </c>
      <c r="M13" s="75"/>
      <c r="N13" s="69"/>
      <c r="O13" s="77" t="s">
        <v>178</v>
      </c>
      <c r="P13" s="79">
        <v>45072.77542824074</v>
      </c>
      <c r="Q13" s="77" t="s">
        <v>451</v>
      </c>
      <c r="R13" s="77">
        <v>0</v>
      </c>
      <c r="S13" s="77">
        <v>1</v>
      </c>
      <c r="T13" s="77">
        <v>1</v>
      </c>
      <c r="U13" s="77">
        <v>0</v>
      </c>
      <c r="V13" s="77">
        <v>87</v>
      </c>
      <c r="W13" s="81" t="s">
        <v>583</v>
      </c>
      <c r="X13" s="77"/>
      <c r="Y13" s="77"/>
      <c r="Z13" s="77"/>
      <c r="AA13" s="77" t="s">
        <v>648</v>
      </c>
      <c r="AB13" s="77" t="s">
        <v>670</v>
      </c>
      <c r="AC13" s="81" t="s">
        <v>674</v>
      </c>
      <c r="AD13" s="77" t="s">
        <v>686</v>
      </c>
      <c r="AE13" s="83" t="str">
        <f>HYPERLINK("https://twitter.com/larssonrealtor/status/1662165862126878722")</f>
        <v>https://twitter.com/larssonrealtor/status/1662165862126878722</v>
      </c>
      <c r="AF13" s="79">
        <v>45072.77542824074</v>
      </c>
      <c r="AG13" s="85">
        <v>45072</v>
      </c>
      <c r="AH13" s="81" t="s">
        <v>696</v>
      </c>
      <c r="AI13" s="77" t="b">
        <v>0</v>
      </c>
      <c r="AJ13" s="77" t="s">
        <v>829</v>
      </c>
      <c r="AK13" s="77" t="s">
        <v>849</v>
      </c>
      <c r="AL13" s="77" t="s">
        <v>850</v>
      </c>
      <c r="AM13" s="77" t="s">
        <v>853</v>
      </c>
      <c r="AN13" s="77" t="s">
        <v>875</v>
      </c>
      <c r="AO13" s="77" t="s">
        <v>897</v>
      </c>
      <c r="AP13" s="77" t="s">
        <v>917</v>
      </c>
      <c r="AQ13" s="77" t="s">
        <v>919</v>
      </c>
      <c r="AR13" s="77"/>
      <c r="AS13" s="77"/>
      <c r="AT13" s="77"/>
      <c r="AU13" s="77"/>
      <c r="AV13" s="83" t="str">
        <f>HYPERLINK("https://pbs.twimg.com/tweet_video_thumb/FxEzCaTaMAAGsFb.jpg")</f>
        <v>https://pbs.twimg.com/tweet_video_thumb/FxEzCaTaMAAGsFb.jpg</v>
      </c>
      <c r="AW13" s="81" t="s">
        <v>949</v>
      </c>
      <c r="AX13" s="81" t="s">
        <v>949</v>
      </c>
      <c r="AY13" s="77"/>
      <c r="AZ13" s="81" t="s">
        <v>1210</v>
      </c>
      <c r="BA13" s="81" t="s">
        <v>1210</v>
      </c>
      <c r="BB13" s="81" t="s">
        <v>1210</v>
      </c>
      <c r="BC13" s="81" t="s">
        <v>949</v>
      </c>
      <c r="BD13" s="81" t="s">
        <v>1239</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4</v>
      </c>
      <c r="BN13" s="46">
        <v>9.090909090909092</v>
      </c>
      <c r="BO13" s="45">
        <v>1</v>
      </c>
      <c r="BP13" s="46">
        <v>2.272727272727273</v>
      </c>
      <c r="BQ13" s="45">
        <v>0</v>
      </c>
      <c r="BR13" s="46">
        <v>0</v>
      </c>
      <c r="BS13" s="45">
        <v>23</v>
      </c>
      <c r="BT13" s="46">
        <v>52.27272727272727</v>
      </c>
      <c r="BU13" s="45">
        <v>44</v>
      </c>
    </row>
    <row r="14" spans="1:73" ht="15">
      <c r="A14" s="61" t="s">
        <v>232</v>
      </c>
      <c r="B14" s="61" t="s">
        <v>350</v>
      </c>
      <c r="C14" s="62"/>
      <c r="D14" s="63"/>
      <c r="E14" s="64"/>
      <c r="F14" s="65"/>
      <c r="G14" s="62"/>
      <c r="H14" s="66"/>
      <c r="I14" s="67"/>
      <c r="J14" s="67"/>
      <c r="K14" s="31" t="s">
        <v>65</v>
      </c>
      <c r="L14" s="75">
        <v>20</v>
      </c>
      <c r="M14" s="75"/>
      <c r="N14" s="69"/>
      <c r="O14" s="77" t="s">
        <v>438</v>
      </c>
      <c r="P14" s="79">
        <v>45318.77832175926</v>
      </c>
      <c r="Q14" s="77" t="s">
        <v>452</v>
      </c>
      <c r="R14" s="77">
        <v>0</v>
      </c>
      <c r="S14" s="77">
        <v>3</v>
      </c>
      <c r="T14" s="77">
        <v>2</v>
      </c>
      <c r="U14" s="77">
        <v>0</v>
      </c>
      <c r="V14" s="77">
        <v>131</v>
      </c>
      <c r="W14" s="77"/>
      <c r="X14" s="77"/>
      <c r="Y14" s="77"/>
      <c r="Z14" s="77" t="s">
        <v>350</v>
      </c>
      <c r="AA14" s="77"/>
      <c r="AB14" s="77"/>
      <c r="AC14" s="81" t="s">
        <v>675</v>
      </c>
      <c r="AD14" s="77" t="s">
        <v>686</v>
      </c>
      <c r="AE14" s="83" t="str">
        <f>HYPERLINK("https://twitter.com/tradedebater/status/1751314325946634441")</f>
        <v>https://twitter.com/tradedebater/status/1751314325946634441</v>
      </c>
      <c r="AF14" s="79">
        <v>45318.77832175926</v>
      </c>
      <c r="AG14" s="85">
        <v>45318</v>
      </c>
      <c r="AH14" s="81" t="s">
        <v>697</v>
      </c>
      <c r="AI14" s="77"/>
      <c r="AJ14" s="77"/>
      <c r="AK14" s="77"/>
      <c r="AL14" s="77"/>
      <c r="AM14" s="77"/>
      <c r="AN14" s="77"/>
      <c r="AO14" s="77"/>
      <c r="AP14" s="77"/>
      <c r="AQ14" s="77"/>
      <c r="AR14" s="77"/>
      <c r="AS14" s="77"/>
      <c r="AT14" s="77"/>
      <c r="AU14" s="77"/>
      <c r="AV14" s="83" t="str">
        <f>HYPERLINK("https://pbs.twimg.com/profile_images/1493693239005745157/wGhfG2bM_normal.jpg")</f>
        <v>https://pbs.twimg.com/profile_images/1493693239005745157/wGhfG2bM_normal.jpg</v>
      </c>
      <c r="AW14" s="81" t="s">
        <v>950</v>
      </c>
      <c r="AX14" s="81" t="s">
        <v>1086</v>
      </c>
      <c r="AY14" s="81" t="s">
        <v>1151</v>
      </c>
      <c r="AZ14" s="81" t="s">
        <v>1086</v>
      </c>
      <c r="BA14" s="81" t="s">
        <v>1210</v>
      </c>
      <c r="BB14" s="81" t="s">
        <v>1210</v>
      </c>
      <c r="BC14" s="81" t="s">
        <v>1086</v>
      </c>
      <c r="BD14" s="81" t="s">
        <v>1240</v>
      </c>
      <c r="BE14" s="77"/>
      <c r="BF14" s="77"/>
      <c r="BG14" s="77"/>
      <c r="BH14" s="77"/>
      <c r="BI14" s="77"/>
      <c r="BJ14">
        <v>1</v>
      </c>
      <c r="BK14" s="76" t="str">
        <f>REPLACE(INDEX(GroupVertices[Group],MATCH("~"&amp;Edges27[[#This Row],[Vertex 1]],GroupVertices[Vertex],0)),1,1,"")</f>
        <v>2</v>
      </c>
      <c r="BL14" s="76" t="str">
        <f>REPLACE(INDEX(GroupVertices[Group],MATCH("~"&amp;Edges27[[#This Row],[Vertex 2]],GroupVertices[Vertex],0)),1,1,"")</f>
        <v>2</v>
      </c>
      <c r="BM14" s="45">
        <v>2</v>
      </c>
      <c r="BN14" s="46">
        <v>11.11111111111111</v>
      </c>
      <c r="BO14" s="45">
        <v>1</v>
      </c>
      <c r="BP14" s="46">
        <v>5.555555555555555</v>
      </c>
      <c r="BQ14" s="45">
        <v>0</v>
      </c>
      <c r="BR14" s="46">
        <v>0</v>
      </c>
      <c r="BS14" s="45">
        <v>7</v>
      </c>
      <c r="BT14" s="46">
        <v>38.888888888888886</v>
      </c>
      <c r="BU14" s="45">
        <v>18</v>
      </c>
    </row>
    <row r="15" spans="1:73" ht="15">
      <c r="A15" s="61" t="s">
        <v>233</v>
      </c>
      <c r="B15" s="61" t="s">
        <v>351</v>
      </c>
      <c r="C15" s="62"/>
      <c r="D15" s="63"/>
      <c r="E15" s="64"/>
      <c r="F15" s="65"/>
      <c r="G15" s="62"/>
      <c r="H15" s="66"/>
      <c r="I15" s="67"/>
      <c r="J15" s="67"/>
      <c r="K15" s="31" t="s">
        <v>65</v>
      </c>
      <c r="L15" s="75">
        <v>21</v>
      </c>
      <c r="M15" s="75"/>
      <c r="N15" s="69"/>
      <c r="O15" s="77" t="s">
        <v>437</v>
      </c>
      <c r="P15" s="79">
        <v>45313.72467592593</v>
      </c>
      <c r="Q15" s="77" t="s">
        <v>453</v>
      </c>
      <c r="R15" s="77">
        <v>0</v>
      </c>
      <c r="S15" s="77">
        <v>1</v>
      </c>
      <c r="T15" s="77">
        <v>0</v>
      </c>
      <c r="U15" s="77">
        <v>0</v>
      </c>
      <c r="V15" s="77">
        <v>18</v>
      </c>
      <c r="W15" s="77"/>
      <c r="X15" s="77"/>
      <c r="Y15" s="77"/>
      <c r="Z15" s="77" t="s">
        <v>624</v>
      </c>
      <c r="AA15" s="77"/>
      <c r="AB15" s="77"/>
      <c r="AC15" s="81" t="s">
        <v>675</v>
      </c>
      <c r="AD15" s="77" t="s">
        <v>686</v>
      </c>
      <c r="AE15" s="83" t="str">
        <f>HYPERLINK("https://twitter.com/eclecticradical/status/1749482945491165503")</f>
        <v>https://twitter.com/eclecticradical/status/1749482945491165503</v>
      </c>
      <c r="AF15" s="79">
        <v>45313.72467592593</v>
      </c>
      <c r="AG15" s="85">
        <v>45313</v>
      </c>
      <c r="AH15" s="81" t="s">
        <v>698</v>
      </c>
      <c r="AI15" s="77"/>
      <c r="AJ15" s="77"/>
      <c r="AK15" s="77"/>
      <c r="AL15" s="77"/>
      <c r="AM15" s="77"/>
      <c r="AN15" s="77"/>
      <c r="AO15" s="77"/>
      <c r="AP15" s="77"/>
      <c r="AQ15" s="77"/>
      <c r="AR15" s="77"/>
      <c r="AS15" s="77"/>
      <c r="AT15" s="77"/>
      <c r="AU15" s="77"/>
      <c r="AV15" s="83" t="str">
        <f>HYPERLINK("https://pbs.twimg.com/profile_images/1655048336481878017/aQM2raQ8_normal.jpg")</f>
        <v>https://pbs.twimg.com/profile_images/1655048336481878017/aQM2raQ8_normal.jpg</v>
      </c>
      <c r="AW15" s="81" t="s">
        <v>951</v>
      </c>
      <c r="AX15" s="81" t="s">
        <v>1087</v>
      </c>
      <c r="AY15" s="81" t="s">
        <v>1152</v>
      </c>
      <c r="AZ15" s="81" t="s">
        <v>1211</v>
      </c>
      <c r="BA15" s="81" t="s">
        <v>1210</v>
      </c>
      <c r="BB15" s="81" t="s">
        <v>1210</v>
      </c>
      <c r="BC15" s="81" t="s">
        <v>1211</v>
      </c>
      <c r="BD15" s="81" t="s">
        <v>1241</v>
      </c>
      <c r="BE15" s="77"/>
      <c r="BF15" s="77"/>
      <c r="BG15" s="77"/>
      <c r="BH15" s="77"/>
      <c r="BI15" s="77"/>
      <c r="BJ15">
        <v>1</v>
      </c>
      <c r="BK15" s="76" t="str">
        <f>REPLACE(INDEX(GroupVertices[Group],MATCH("~"&amp;Edges27[[#This Row],[Vertex 1]],GroupVertices[Vertex],0)),1,1,"")</f>
        <v>10</v>
      </c>
      <c r="BL15" s="76" t="str">
        <f>REPLACE(INDEX(GroupVertices[Group],MATCH("~"&amp;Edges27[[#This Row],[Vertex 2]],GroupVertices[Vertex],0)),1,1,"")</f>
        <v>10</v>
      </c>
      <c r="BM15" s="45"/>
      <c r="BN15" s="46"/>
      <c r="BO15" s="45"/>
      <c r="BP15" s="46"/>
      <c r="BQ15" s="45"/>
      <c r="BR15" s="46"/>
      <c r="BS15" s="45"/>
      <c r="BT15" s="46"/>
      <c r="BU15" s="45"/>
    </row>
    <row r="16" spans="1:73" ht="15">
      <c r="A16" s="61" t="s">
        <v>234</v>
      </c>
      <c r="B16" s="61" t="s">
        <v>234</v>
      </c>
      <c r="C16" s="62"/>
      <c r="D16" s="63"/>
      <c r="E16" s="64"/>
      <c r="F16" s="65"/>
      <c r="G16" s="62"/>
      <c r="H16" s="66"/>
      <c r="I16" s="67"/>
      <c r="J16" s="67"/>
      <c r="K16" s="31" t="s">
        <v>65</v>
      </c>
      <c r="L16" s="75">
        <v>24</v>
      </c>
      <c r="M16" s="75"/>
      <c r="N16" s="69"/>
      <c r="O16" s="77" t="s">
        <v>178</v>
      </c>
      <c r="P16" s="79">
        <v>45150.34211805555</v>
      </c>
      <c r="Q16" s="77" t="s">
        <v>454</v>
      </c>
      <c r="R16" s="77">
        <v>7</v>
      </c>
      <c r="S16" s="77">
        <v>18</v>
      </c>
      <c r="T16" s="77">
        <v>8</v>
      </c>
      <c r="U16" s="77">
        <v>1</v>
      </c>
      <c r="V16" s="77">
        <v>1434</v>
      </c>
      <c r="W16" s="77"/>
      <c r="X16" s="77"/>
      <c r="Y16" s="77"/>
      <c r="Z16" s="77"/>
      <c r="AA16" s="77" t="s">
        <v>649</v>
      </c>
      <c r="AB16" s="77" t="s">
        <v>671</v>
      </c>
      <c r="AC16" s="81" t="s">
        <v>677</v>
      </c>
      <c r="AD16" s="77" t="s">
        <v>686</v>
      </c>
      <c r="AE16" s="83" t="str">
        <f>HYPERLINK("https://twitter.com/darealgreglopez/status/1690275088648790016")</f>
        <v>https://twitter.com/darealgreglopez/status/1690275088648790016</v>
      </c>
      <c r="AF16" s="79">
        <v>45150.34211805555</v>
      </c>
      <c r="AG16" s="85">
        <v>45150</v>
      </c>
      <c r="AH16" s="81" t="s">
        <v>699</v>
      </c>
      <c r="AI16" s="77" t="b">
        <v>0</v>
      </c>
      <c r="AJ16" s="77" t="s">
        <v>828</v>
      </c>
      <c r="AK16" s="77" t="s">
        <v>849</v>
      </c>
      <c r="AL16" s="77" t="s">
        <v>850</v>
      </c>
      <c r="AM16" s="77" t="s">
        <v>852</v>
      </c>
      <c r="AN16" s="77" t="s">
        <v>874</v>
      </c>
      <c r="AO16" s="77" t="s">
        <v>896</v>
      </c>
      <c r="AP16" s="77" t="s">
        <v>917</v>
      </c>
      <c r="AQ16" s="77" t="s">
        <v>920</v>
      </c>
      <c r="AR16" s="77"/>
      <c r="AS16" s="77"/>
      <c r="AT16" s="77"/>
      <c r="AU16" s="77"/>
      <c r="AV16" s="83" t="str">
        <f>HYPERLINK("https://pbs.twimg.com/media/F3UQO9ub0AAoaRB.jpg")</f>
        <v>https://pbs.twimg.com/media/F3UQO9ub0AAoaRB.jpg</v>
      </c>
      <c r="AW16" s="81" t="s">
        <v>952</v>
      </c>
      <c r="AX16" s="81" t="s">
        <v>952</v>
      </c>
      <c r="AY16" s="77"/>
      <c r="AZ16" s="81" t="s">
        <v>1210</v>
      </c>
      <c r="BA16" s="81" t="s">
        <v>1210</v>
      </c>
      <c r="BB16" s="81" t="s">
        <v>1210</v>
      </c>
      <c r="BC16" s="81" t="s">
        <v>952</v>
      </c>
      <c r="BD16" s="77">
        <v>3789907333</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1</v>
      </c>
      <c r="BN16" s="46">
        <v>2.0408163265306123</v>
      </c>
      <c r="BO16" s="45">
        <v>2</v>
      </c>
      <c r="BP16" s="46">
        <v>4.081632653061225</v>
      </c>
      <c r="BQ16" s="45">
        <v>0</v>
      </c>
      <c r="BR16" s="46">
        <v>0</v>
      </c>
      <c r="BS16" s="45">
        <v>23</v>
      </c>
      <c r="BT16" s="46">
        <v>46.93877551020408</v>
      </c>
      <c r="BU16" s="45">
        <v>49</v>
      </c>
    </row>
    <row r="17" spans="1:73" ht="15">
      <c r="A17" s="61" t="s">
        <v>235</v>
      </c>
      <c r="B17" s="61" t="s">
        <v>235</v>
      </c>
      <c r="C17" s="62"/>
      <c r="D17" s="63"/>
      <c r="E17" s="64"/>
      <c r="F17" s="65"/>
      <c r="G17" s="62"/>
      <c r="H17" s="66"/>
      <c r="I17" s="67"/>
      <c r="J17" s="67"/>
      <c r="K17" s="31" t="s">
        <v>65</v>
      </c>
      <c r="L17" s="75">
        <v>25</v>
      </c>
      <c r="M17" s="75"/>
      <c r="N17" s="69"/>
      <c r="O17" s="77" t="s">
        <v>438</v>
      </c>
      <c r="P17" s="79">
        <v>45143.767060185186</v>
      </c>
      <c r="Q17" s="77" t="s">
        <v>455</v>
      </c>
      <c r="R17" s="77">
        <v>0</v>
      </c>
      <c r="S17" s="77">
        <v>0</v>
      </c>
      <c r="T17" s="77">
        <v>1</v>
      </c>
      <c r="U17" s="77">
        <v>0</v>
      </c>
      <c r="V17" s="77">
        <v>57</v>
      </c>
      <c r="W17" s="77"/>
      <c r="X17" s="77"/>
      <c r="Y17" s="77"/>
      <c r="Z17" s="77"/>
      <c r="AA17" s="77"/>
      <c r="AB17" s="77"/>
      <c r="AC17" s="81" t="s">
        <v>677</v>
      </c>
      <c r="AD17" s="77" t="s">
        <v>686</v>
      </c>
      <c r="AE17" s="83" t="str">
        <f>HYPERLINK("https://twitter.com/aaronpoole85/status/1687892365766533120")</f>
        <v>https://twitter.com/aaronpoole85/status/1687892365766533120</v>
      </c>
      <c r="AF17" s="79">
        <v>45143.767060185186</v>
      </c>
      <c r="AG17" s="85">
        <v>45143</v>
      </c>
      <c r="AH17" s="81" t="s">
        <v>700</v>
      </c>
      <c r="AI17" s="77"/>
      <c r="AJ17" s="77" t="s">
        <v>828</v>
      </c>
      <c r="AK17" s="77" t="s">
        <v>849</v>
      </c>
      <c r="AL17" s="77" t="s">
        <v>850</v>
      </c>
      <c r="AM17" s="77" t="s">
        <v>852</v>
      </c>
      <c r="AN17" s="77" t="s">
        <v>874</v>
      </c>
      <c r="AO17" s="77" t="s">
        <v>896</v>
      </c>
      <c r="AP17" s="77" t="s">
        <v>917</v>
      </c>
      <c r="AQ17" s="77"/>
      <c r="AR17" s="77"/>
      <c r="AS17" s="77"/>
      <c r="AT17" s="77"/>
      <c r="AU17" s="77"/>
      <c r="AV17" s="83" t="str">
        <f>HYPERLINK("https://pbs.twimg.com/profile_images/1436524624452341762/4H28f4yK_normal.jpg")</f>
        <v>https://pbs.twimg.com/profile_images/1436524624452341762/4H28f4yK_normal.jpg</v>
      </c>
      <c r="AW17" s="81" t="s">
        <v>953</v>
      </c>
      <c r="AX17" s="81" t="s">
        <v>1088</v>
      </c>
      <c r="AY17" s="81" t="s">
        <v>1153</v>
      </c>
      <c r="AZ17" s="81" t="s">
        <v>1088</v>
      </c>
      <c r="BA17" s="81" t="s">
        <v>1210</v>
      </c>
      <c r="BB17" s="81" t="s">
        <v>1210</v>
      </c>
      <c r="BC17" s="81" t="s">
        <v>1088</v>
      </c>
      <c r="BD17" s="77">
        <v>1489439804</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1</v>
      </c>
      <c r="BN17" s="46">
        <v>2.0408163265306123</v>
      </c>
      <c r="BO17" s="45">
        <v>3</v>
      </c>
      <c r="BP17" s="46">
        <v>6.122448979591836</v>
      </c>
      <c r="BQ17" s="45">
        <v>0</v>
      </c>
      <c r="BR17" s="46">
        <v>0</v>
      </c>
      <c r="BS17" s="45">
        <v>24</v>
      </c>
      <c r="BT17" s="46">
        <v>48.97959183673469</v>
      </c>
      <c r="BU17" s="45">
        <v>49</v>
      </c>
    </row>
    <row r="18" spans="1:73" ht="15">
      <c r="A18" s="61" t="s">
        <v>236</v>
      </c>
      <c r="B18" s="61" t="s">
        <v>354</v>
      </c>
      <c r="C18" s="62"/>
      <c r="D18" s="63"/>
      <c r="E18" s="64"/>
      <c r="F18" s="65"/>
      <c r="G18" s="62"/>
      <c r="H18" s="66"/>
      <c r="I18" s="67"/>
      <c r="J18" s="67"/>
      <c r="K18" s="31" t="s">
        <v>65</v>
      </c>
      <c r="L18" s="75">
        <v>26</v>
      </c>
      <c r="M18" s="75"/>
      <c r="N18" s="69"/>
      <c r="O18" s="77" t="s">
        <v>438</v>
      </c>
      <c r="P18" s="79">
        <v>44930.154328703706</v>
      </c>
      <c r="Q18" s="77" t="s">
        <v>456</v>
      </c>
      <c r="R18" s="77">
        <v>0</v>
      </c>
      <c r="S18" s="77">
        <v>2</v>
      </c>
      <c r="T18" s="77">
        <v>0</v>
      </c>
      <c r="U18" s="77">
        <v>0</v>
      </c>
      <c r="V18" s="77">
        <v>480</v>
      </c>
      <c r="W18" s="77"/>
      <c r="X18" s="77"/>
      <c r="Y18" s="77"/>
      <c r="Z18" s="77" t="s">
        <v>354</v>
      </c>
      <c r="AA18" s="77"/>
      <c r="AB18" s="77"/>
      <c r="AC18" s="81" t="s">
        <v>674</v>
      </c>
      <c r="AD18" s="77" t="s">
        <v>686</v>
      </c>
      <c r="AE18" s="83" t="str">
        <f>HYPERLINK("https://twitter.com/1markcoker/status/1610481704812318720")</f>
        <v>https://twitter.com/1markcoker/status/1610481704812318720</v>
      </c>
      <c r="AF18" s="79">
        <v>44930.154328703706</v>
      </c>
      <c r="AG18" s="85">
        <v>44930</v>
      </c>
      <c r="AH18" s="81" t="s">
        <v>701</v>
      </c>
      <c r="AI18" s="77"/>
      <c r="AJ18" s="77" t="s">
        <v>830</v>
      </c>
      <c r="AK18" s="77" t="s">
        <v>849</v>
      </c>
      <c r="AL18" s="77" t="s">
        <v>850</v>
      </c>
      <c r="AM18" s="77" t="s">
        <v>854</v>
      </c>
      <c r="AN18" s="77" t="s">
        <v>876</v>
      </c>
      <c r="AO18" s="77" t="s">
        <v>898</v>
      </c>
      <c r="AP18" s="77" t="s">
        <v>917</v>
      </c>
      <c r="AQ18" s="77"/>
      <c r="AR18" s="77"/>
      <c r="AS18" s="77"/>
      <c r="AT18" s="77"/>
      <c r="AU18" s="77"/>
      <c r="AV18" s="83" t="str">
        <f>HYPERLINK("https://pbs.twimg.com/profile_images/1713267471795552256/I2PZVV1m_normal.jpg")</f>
        <v>https://pbs.twimg.com/profile_images/1713267471795552256/I2PZVV1m_normal.jpg</v>
      </c>
      <c r="AW18" s="81" t="s">
        <v>954</v>
      </c>
      <c r="AX18" s="81" t="s">
        <v>1089</v>
      </c>
      <c r="AY18" s="81" t="s">
        <v>1154</v>
      </c>
      <c r="AZ18" s="81" t="s">
        <v>1089</v>
      </c>
      <c r="BA18" s="81" t="s">
        <v>1210</v>
      </c>
      <c r="BB18" s="81" t="s">
        <v>1210</v>
      </c>
      <c r="BC18" s="81" t="s">
        <v>1089</v>
      </c>
      <c r="BD18" s="77">
        <v>1515310844</v>
      </c>
      <c r="BE18" s="77"/>
      <c r="BF18" s="77"/>
      <c r="BG18" s="77"/>
      <c r="BH18" s="77"/>
      <c r="BI18" s="77"/>
      <c r="BJ18">
        <v>1</v>
      </c>
      <c r="BK18" s="76" t="str">
        <f>REPLACE(INDEX(GroupVertices[Group],MATCH("~"&amp;Edges27[[#This Row],[Vertex 1]],GroupVertices[Vertex],0)),1,1,"")</f>
        <v>62</v>
      </c>
      <c r="BL18" s="76" t="str">
        <f>REPLACE(INDEX(GroupVertices[Group],MATCH("~"&amp;Edges27[[#This Row],[Vertex 2]],GroupVertices[Vertex],0)),1,1,"")</f>
        <v>62</v>
      </c>
      <c r="BM18" s="45">
        <v>2</v>
      </c>
      <c r="BN18" s="46">
        <v>5.714285714285714</v>
      </c>
      <c r="BO18" s="45">
        <v>2</v>
      </c>
      <c r="BP18" s="46">
        <v>5.714285714285714</v>
      </c>
      <c r="BQ18" s="45">
        <v>0</v>
      </c>
      <c r="BR18" s="46">
        <v>0</v>
      </c>
      <c r="BS18" s="45">
        <v>15</v>
      </c>
      <c r="BT18" s="46">
        <v>42.857142857142854</v>
      </c>
      <c r="BU18" s="45">
        <v>35</v>
      </c>
    </row>
    <row r="19" spans="1:73" ht="15">
      <c r="A19" s="61" t="s">
        <v>236</v>
      </c>
      <c r="B19" s="61" t="s">
        <v>236</v>
      </c>
      <c r="C19" s="62"/>
      <c r="D19" s="63"/>
      <c r="E19" s="64"/>
      <c r="F19" s="65"/>
      <c r="G19" s="62"/>
      <c r="H19" s="66"/>
      <c r="I19" s="67"/>
      <c r="J19" s="67"/>
      <c r="K19" s="31" t="s">
        <v>65</v>
      </c>
      <c r="L19" s="75">
        <v>27</v>
      </c>
      <c r="M19" s="75"/>
      <c r="N19" s="69"/>
      <c r="O19" s="77" t="s">
        <v>178</v>
      </c>
      <c r="P19" s="79">
        <v>45282.091944444444</v>
      </c>
      <c r="Q19" s="77" t="s">
        <v>457</v>
      </c>
      <c r="R19" s="77">
        <v>0</v>
      </c>
      <c r="S19" s="77">
        <v>1</v>
      </c>
      <c r="T19" s="77">
        <v>0</v>
      </c>
      <c r="U19" s="77">
        <v>0</v>
      </c>
      <c r="V19" s="77">
        <v>44</v>
      </c>
      <c r="W19" s="77"/>
      <c r="X19" s="77"/>
      <c r="Y19" s="77"/>
      <c r="Z19" s="77"/>
      <c r="AA19" s="77"/>
      <c r="AB19" s="77"/>
      <c r="AC19" s="81" t="s">
        <v>674</v>
      </c>
      <c r="AD19" s="77" t="s">
        <v>686</v>
      </c>
      <c r="AE19" s="83" t="str">
        <f>HYPERLINK("https://twitter.com/1markcoker/status/1738019628411244576")</f>
        <v>https://twitter.com/1markcoker/status/1738019628411244576</v>
      </c>
      <c r="AF19" s="79">
        <v>45282.091944444444</v>
      </c>
      <c r="AG19" s="85">
        <v>45282</v>
      </c>
      <c r="AH19" s="81" t="s">
        <v>702</v>
      </c>
      <c r="AI19" s="77"/>
      <c r="AJ19" s="77" t="s">
        <v>828</v>
      </c>
      <c r="AK19" s="77" t="s">
        <v>849</v>
      </c>
      <c r="AL19" s="77" t="s">
        <v>850</v>
      </c>
      <c r="AM19" s="77" t="s">
        <v>852</v>
      </c>
      <c r="AN19" s="77" t="s">
        <v>874</v>
      </c>
      <c r="AO19" s="77" t="s">
        <v>896</v>
      </c>
      <c r="AP19" s="77" t="s">
        <v>917</v>
      </c>
      <c r="AQ19" s="77"/>
      <c r="AR19" s="77"/>
      <c r="AS19" s="77"/>
      <c r="AT19" s="77"/>
      <c r="AU19" s="77"/>
      <c r="AV19" s="83" t="str">
        <f>HYPERLINK("https://pbs.twimg.com/profile_images/1713267471795552256/I2PZVV1m_normal.jpg")</f>
        <v>https://pbs.twimg.com/profile_images/1713267471795552256/I2PZVV1m_normal.jpg</v>
      </c>
      <c r="AW19" s="81" t="s">
        <v>955</v>
      </c>
      <c r="AX19" s="81" t="s">
        <v>955</v>
      </c>
      <c r="AY19" s="77"/>
      <c r="AZ19" s="81" t="s">
        <v>1210</v>
      </c>
      <c r="BA19" s="81" t="s">
        <v>1210</v>
      </c>
      <c r="BB19" s="81" t="s">
        <v>1210</v>
      </c>
      <c r="BC19" s="81" t="s">
        <v>955</v>
      </c>
      <c r="BD19" s="77">
        <v>1515310844</v>
      </c>
      <c r="BE19" s="77"/>
      <c r="BF19" s="77"/>
      <c r="BG19" s="77"/>
      <c r="BH19" s="77"/>
      <c r="BI19" s="77"/>
      <c r="BJ19">
        <v>1</v>
      </c>
      <c r="BK19" s="76" t="str">
        <f>REPLACE(INDEX(GroupVertices[Group],MATCH("~"&amp;Edges27[[#This Row],[Vertex 1]],GroupVertices[Vertex],0)),1,1,"")</f>
        <v>62</v>
      </c>
      <c r="BL19" s="76" t="str">
        <f>REPLACE(INDEX(GroupVertices[Group],MATCH("~"&amp;Edges27[[#This Row],[Vertex 2]],GroupVertices[Vertex],0)),1,1,"")</f>
        <v>62</v>
      </c>
      <c r="BM19" s="45">
        <v>0</v>
      </c>
      <c r="BN19" s="46">
        <v>0</v>
      </c>
      <c r="BO19" s="45">
        <v>4</v>
      </c>
      <c r="BP19" s="46">
        <v>6.896551724137931</v>
      </c>
      <c r="BQ19" s="45">
        <v>0</v>
      </c>
      <c r="BR19" s="46">
        <v>0</v>
      </c>
      <c r="BS19" s="45">
        <v>21</v>
      </c>
      <c r="BT19" s="46">
        <v>36.206896551724135</v>
      </c>
      <c r="BU19" s="45">
        <v>58</v>
      </c>
    </row>
    <row r="20" spans="1:73" ht="15">
      <c r="A20" s="61" t="s">
        <v>237</v>
      </c>
      <c r="B20" s="61" t="s">
        <v>237</v>
      </c>
      <c r="C20" s="62"/>
      <c r="D20" s="63"/>
      <c r="E20" s="64"/>
      <c r="F20" s="65"/>
      <c r="G20" s="62"/>
      <c r="H20" s="66"/>
      <c r="I20" s="67"/>
      <c r="J20" s="67"/>
      <c r="K20" s="31" t="s">
        <v>65</v>
      </c>
      <c r="L20" s="75">
        <v>28</v>
      </c>
      <c r="M20" s="75"/>
      <c r="N20" s="69"/>
      <c r="O20" s="77" t="s">
        <v>178</v>
      </c>
      <c r="P20" s="79">
        <v>45029.92025462963</v>
      </c>
      <c r="Q20" s="77" t="s">
        <v>458</v>
      </c>
      <c r="R20" s="77">
        <v>9</v>
      </c>
      <c r="S20" s="77">
        <v>84</v>
      </c>
      <c r="T20" s="77">
        <v>29</v>
      </c>
      <c r="U20" s="77">
        <v>2</v>
      </c>
      <c r="V20" s="77">
        <v>6942</v>
      </c>
      <c r="W20" s="77"/>
      <c r="X20" s="77"/>
      <c r="Y20" s="77"/>
      <c r="Z20" s="77"/>
      <c r="AA20" s="77"/>
      <c r="AB20" s="77"/>
      <c r="AC20" s="81" t="s">
        <v>674</v>
      </c>
      <c r="AD20" s="77" t="s">
        <v>686</v>
      </c>
      <c r="AE20" s="83" t="str">
        <f>HYPERLINK("https://twitter.com/saylahachey/status/1646635665021624320")</f>
        <v>https://twitter.com/saylahachey/status/1646635665021624320</v>
      </c>
      <c r="AF20" s="79">
        <v>45029.92025462963</v>
      </c>
      <c r="AG20" s="85">
        <v>45029</v>
      </c>
      <c r="AH20" s="81" t="s">
        <v>703</v>
      </c>
      <c r="AI20" s="77"/>
      <c r="AJ20" s="77" t="s">
        <v>828</v>
      </c>
      <c r="AK20" s="77" t="s">
        <v>849</v>
      </c>
      <c r="AL20" s="77" t="s">
        <v>850</v>
      </c>
      <c r="AM20" s="77" t="s">
        <v>852</v>
      </c>
      <c r="AN20" s="77" t="s">
        <v>874</v>
      </c>
      <c r="AO20" s="77" t="s">
        <v>896</v>
      </c>
      <c r="AP20" s="77" t="s">
        <v>917</v>
      </c>
      <c r="AQ20" s="77"/>
      <c r="AR20" s="77"/>
      <c r="AS20" s="77"/>
      <c r="AT20" s="77"/>
      <c r="AU20" s="77"/>
      <c r="AV20" s="83" t="str">
        <f>HYPERLINK("https://pbs.twimg.com/profile_images/1749584625180270592/a4dS57l4_normal.jpg")</f>
        <v>https://pbs.twimg.com/profile_images/1749584625180270592/a4dS57l4_normal.jpg</v>
      </c>
      <c r="AW20" s="81" t="s">
        <v>956</v>
      </c>
      <c r="AX20" s="81" t="s">
        <v>956</v>
      </c>
      <c r="AY20" s="77"/>
      <c r="AZ20" s="81" t="s">
        <v>1210</v>
      </c>
      <c r="BA20" s="81" t="s">
        <v>1210</v>
      </c>
      <c r="BB20" s="81" t="s">
        <v>1210</v>
      </c>
      <c r="BC20" s="81" t="s">
        <v>956</v>
      </c>
      <c r="BD20" s="81" t="s">
        <v>1242</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v>1</v>
      </c>
      <c r="BN20" s="46">
        <v>10</v>
      </c>
      <c r="BO20" s="45">
        <v>2</v>
      </c>
      <c r="BP20" s="46">
        <v>20</v>
      </c>
      <c r="BQ20" s="45">
        <v>0</v>
      </c>
      <c r="BR20" s="46">
        <v>0</v>
      </c>
      <c r="BS20" s="45">
        <v>1</v>
      </c>
      <c r="BT20" s="46">
        <v>10</v>
      </c>
      <c r="BU20" s="45">
        <v>10</v>
      </c>
    </row>
    <row r="21" spans="1:73" ht="15">
      <c r="A21" s="61" t="s">
        <v>238</v>
      </c>
      <c r="B21" s="61" t="s">
        <v>238</v>
      </c>
      <c r="C21" s="62"/>
      <c r="D21" s="63"/>
      <c r="E21" s="64"/>
      <c r="F21" s="65"/>
      <c r="G21" s="62"/>
      <c r="H21" s="66"/>
      <c r="I21" s="67"/>
      <c r="J21" s="67"/>
      <c r="K21" s="31" t="s">
        <v>65</v>
      </c>
      <c r="L21" s="75">
        <v>29</v>
      </c>
      <c r="M21" s="75"/>
      <c r="N21" s="69"/>
      <c r="O21" s="77" t="s">
        <v>438</v>
      </c>
      <c r="P21" s="79">
        <v>45315.940300925926</v>
      </c>
      <c r="Q21" s="77" t="s">
        <v>459</v>
      </c>
      <c r="R21" s="77">
        <v>0</v>
      </c>
      <c r="S21" s="77">
        <v>0</v>
      </c>
      <c r="T21" s="77">
        <v>1</v>
      </c>
      <c r="U21" s="77">
        <v>0</v>
      </c>
      <c r="V21" s="77">
        <v>92</v>
      </c>
      <c r="W21" s="77"/>
      <c r="X21" s="77"/>
      <c r="Y21" s="77"/>
      <c r="Z21" s="77"/>
      <c r="AA21" s="77"/>
      <c r="AB21" s="77"/>
      <c r="AC21" s="81" t="s">
        <v>675</v>
      </c>
      <c r="AD21" s="77" t="s">
        <v>686</v>
      </c>
      <c r="AE21" s="83" t="str">
        <f>HYPERLINK("https://twitter.com/dc_us/status/1750285858627092898")</f>
        <v>https://twitter.com/dc_us/status/1750285858627092898</v>
      </c>
      <c r="AF21" s="79">
        <v>45315.940300925926</v>
      </c>
      <c r="AG21" s="85">
        <v>45315</v>
      </c>
      <c r="AH21" s="81" t="s">
        <v>704</v>
      </c>
      <c r="AI21" s="77"/>
      <c r="AJ21" s="77"/>
      <c r="AK21" s="77"/>
      <c r="AL21" s="77"/>
      <c r="AM21" s="77"/>
      <c r="AN21" s="77"/>
      <c r="AO21" s="77"/>
      <c r="AP21" s="77"/>
      <c r="AQ21" s="77"/>
      <c r="AR21" s="77"/>
      <c r="AS21" s="77"/>
      <c r="AT21" s="77"/>
      <c r="AU21" s="77"/>
      <c r="AV21" s="83" t="str">
        <f>HYPERLINK("https://pbs.twimg.com/profile_images/1751808395039084544/gvnbNJNB_normal.jpg")</f>
        <v>https://pbs.twimg.com/profile_images/1751808395039084544/gvnbNJNB_normal.jpg</v>
      </c>
      <c r="AW21" s="81" t="s">
        <v>957</v>
      </c>
      <c r="AX21" s="81" t="s">
        <v>1090</v>
      </c>
      <c r="AY21" s="81" t="s">
        <v>1155</v>
      </c>
      <c r="AZ21" s="81" t="s">
        <v>1090</v>
      </c>
      <c r="BA21" s="81" t="s">
        <v>1210</v>
      </c>
      <c r="BB21" s="81" t="s">
        <v>1210</v>
      </c>
      <c r="BC21" s="81" t="s">
        <v>1090</v>
      </c>
      <c r="BD21" s="77">
        <v>101825287</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v>0</v>
      </c>
      <c r="BN21" s="46">
        <v>0</v>
      </c>
      <c r="BO21" s="45">
        <v>3</v>
      </c>
      <c r="BP21" s="46">
        <v>7.894736842105263</v>
      </c>
      <c r="BQ21" s="45">
        <v>0</v>
      </c>
      <c r="BR21" s="46">
        <v>0</v>
      </c>
      <c r="BS21" s="45">
        <v>30</v>
      </c>
      <c r="BT21" s="46">
        <v>78.94736842105263</v>
      </c>
      <c r="BU21" s="45">
        <v>38</v>
      </c>
    </row>
    <row r="22" spans="1:73" ht="15">
      <c r="A22" s="61" t="s">
        <v>239</v>
      </c>
      <c r="B22" s="61" t="s">
        <v>280</v>
      </c>
      <c r="C22" s="62"/>
      <c r="D22" s="63"/>
      <c r="E22" s="64"/>
      <c r="F22" s="65"/>
      <c r="G22" s="62"/>
      <c r="H22" s="66"/>
      <c r="I22" s="67"/>
      <c r="J22" s="67"/>
      <c r="K22" s="31" t="s">
        <v>65</v>
      </c>
      <c r="L22" s="75">
        <v>30</v>
      </c>
      <c r="M22" s="75"/>
      <c r="N22" s="69"/>
      <c r="O22" s="77" t="s">
        <v>439</v>
      </c>
      <c r="P22" s="79">
        <v>45317.43829861111</v>
      </c>
      <c r="Q22" s="77" t="s">
        <v>460</v>
      </c>
      <c r="R22" s="77">
        <v>0</v>
      </c>
      <c r="S22" s="77">
        <v>2</v>
      </c>
      <c r="T22" s="77">
        <v>0</v>
      </c>
      <c r="U22" s="77">
        <v>0</v>
      </c>
      <c r="V22" s="77">
        <v>164</v>
      </c>
      <c r="W22" s="77"/>
      <c r="X22" s="77"/>
      <c r="Y22" s="77"/>
      <c r="Z22" s="77"/>
      <c r="AA22" s="77"/>
      <c r="AB22" s="77"/>
      <c r="AC22" s="81" t="s">
        <v>677</v>
      </c>
      <c r="AD22" s="77" t="s">
        <v>686</v>
      </c>
      <c r="AE22" s="83" t="str">
        <f>HYPERLINK("https://twitter.com/dennisthatsit/status/1750828716304031958")</f>
        <v>https://twitter.com/dennisthatsit/status/1750828716304031958</v>
      </c>
      <c r="AF22" s="79">
        <v>45317.43829861111</v>
      </c>
      <c r="AG22" s="85">
        <v>45317</v>
      </c>
      <c r="AH22" s="81" t="s">
        <v>705</v>
      </c>
      <c r="AI22" s="77"/>
      <c r="AJ22" s="77"/>
      <c r="AK22" s="77"/>
      <c r="AL22" s="77"/>
      <c r="AM22" s="77"/>
      <c r="AN22" s="77"/>
      <c r="AO22" s="77"/>
      <c r="AP22" s="77"/>
      <c r="AQ22" s="77"/>
      <c r="AR22" s="77"/>
      <c r="AS22" s="77"/>
      <c r="AT22" s="77"/>
      <c r="AU22" s="77"/>
      <c r="AV22" s="83" t="str">
        <f>HYPERLINK("https://pbs.twimg.com/profile_images/1094430719722512384/wkO7QMpY_normal.jpg")</f>
        <v>https://pbs.twimg.com/profile_images/1094430719722512384/wkO7QMpY_normal.jpg</v>
      </c>
      <c r="AW22" s="81" t="s">
        <v>958</v>
      </c>
      <c r="AX22" s="81" t="s">
        <v>958</v>
      </c>
      <c r="AY22" s="77"/>
      <c r="AZ22" s="81" t="s">
        <v>1210</v>
      </c>
      <c r="BA22" s="81" t="s">
        <v>1001</v>
      </c>
      <c r="BB22" s="81" t="s">
        <v>1210</v>
      </c>
      <c r="BC22" s="81" t="s">
        <v>1001</v>
      </c>
      <c r="BD22" s="77">
        <v>2547545466</v>
      </c>
      <c r="BE22" s="77"/>
      <c r="BF22" s="77"/>
      <c r="BG22" s="77"/>
      <c r="BH22" s="77"/>
      <c r="BI22" s="77"/>
      <c r="BJ22">
        <v>1</v>
      </c>
      <c r="BK22" s="76" t="str">
        <f>REPLACE(INDEX(GroupVertices[Group],MATCH("~"&amp;Edges27[[#This Row],[Vertex 1]],GroupVertices[Vertex],0)),1,1,"")</f>
        <v>61</v>
      </c>
      <c r="BL22" s="76" t="str">
        <f>REPLACE(INDEX(GroupVertices[Group],MATCH("~"&amp;Edges27[[#This Row],[Vertex 2]],GroupVertices[Vertex],0)),1,1,"")</f>
        <v>61</v>
      </c>
      <c r="BM22" s="45">
        <v>1</v>
      </c>
      <c r="BN22" s="46">
        <v>2</v>
      </c>
      <c r="BO22" s="45">
        <v>2</v>
      </c>
      <c r="BP22" s="46">
        <v>4</v>
      </c>
      <c r="BQ22" s="45">
        <v>0</v>
      </c>
      <c r="BR22" s="46">
        <v>0</v>
      </c>
      <c r="BS22" s="45">
        <v>19</v>
      </c>
      <c r="BT22" s="46">
        <v>38</v>
      </c>
      <c r="BU22" s="45">
        <v>50</v>
      </c>
    </row>
    <row r="23" spans="1:73" ht="15">
      <c r="A23" s="61" t="s">
        <v>240</v>
      </c>
      <c r="B23" s="61" t="s">
        <v>355</v>
      </c>
      <c r="C23" s="62"/>
      <c r="D23" s="63"/>
      <c r="E23" s="64"/>
      <c r="F23" s="65"/>
      <c r="G23" s="62"/>
      <c r="H23" s="66"/>
      <c r="I23" s="67"/>
      <c r="J23" s="67"/>
      <c r="K23" s="31" t="s">
        <v>65</v>
      </c>
      <c r="L23" s="75">
        <v>31</v>
      </c>
      <c r="M23" s="75"/>
      <c r="N23" s="69"/>
      <c r="O23" s="77" t="s">
        <v>438</v>
      </c>
      <c r="P23" s="79">
        <v>44970.24077546296</v>
      </c>
      <c r="Q23" s="77" t="s">
        <v>461</v>
      </c>
      <c r="R23" s="77">
        <v>0</v>
      </c>
      <c r="S23" s="77">
        <v>0</v>
      </c>
      <c r="T23" s="77">
        <v>0</v>
      </c>
      <c r="U23" s="77">
        <v>0</v>
      </c>
      <c r="V23" s="77">
        <v>314</v>
      </c>
      <c r="W23" s="77"/>
      <c r="X23" s="77"/>
      <c r="Y23" s="77"/>
      <c r="Z23" s="77" t="s">
        <v>355</v>
      </c>
      <c r="AA23" s="77"/>
      <c r="AB23" s="77"/>
      <c r="AC23" s="81" t="s">
        <v>674</v>
      </c>
      <c r="AD23" s="77" t="s">
        <v>686</v>
      </c>
      <c r="AE23" s="83" t="str">
        <f>HYPERLINK("https://twitter.com/glorianelson/status/1625008547397517314")</f>
        <v>https://twitter.com/glorianelson/status/1625008547397517314</v>
      </c>
      <c r="AF23" s="79">
        <v>44970.24077546296</v>
      </c>
      <c r="AG23" s="85">
        <v>44970</v>
      </c>
      <c r="AH23" s="81" t="s">
        <v>706</v>
      </c>
      <c r="AI23" s="77"/>
      <c r="AJ23" s="77" t="s">
        <v>831</v>
      </c>
      <c r="AK23" s="77" t="s">
        <v>849</v>
      </c>
      <c r="AL23" s="77" t="s">
        <v>850</v>
      </c>
      <c r="AM23" s="77" t="s">
        <v>855</v>
      </c>
      <c r="AN23" s="77" t="s">
        <v>877</v>
      </c>
      <c r="AO23" s="77" t="s">
        <v>899</v>
      </c>
      <c r="AP23" s="77" t="s">
        <v>917</v>
      </c>
      <c r="AQ23" s="77"/>
      <c r="AR23" s="77"/>
      <c r="AS23" s="77"/>
      <c r="AT23" s="77"/>
      <c r="AU23" s="77"/>
      <c r="AV23" s="83" t="str">
        <f>HYPERLINK("https://pbs.twimg.com/profile_images/439635627269558272/7NaPKuqY_normal.jpeg")</f>
        <v>https://pbs.twimg.com/profile_images/439635627269558272/7NaPKuqY_normal.jpeg</v>
      </c>
      <c r="AW23" s="81" t="s">
        <v>959</v>
      </c>
      <c r="AX23" s="81" t="s">
        <v>1091</v>
      </c>
      <c r="AY23" s="81" t="s">
        <v>1156</v>
      </c>
      <c r="AZ23" s="81" t="s">
        <v>1091</v>
      </c>
      <c r="BA23" s="81" t="s">
        <v>1210</v>
      </c>
      <c r="BB23" s="81" t="s">
        <v>1210</v>
      </c>
      <c r="BC23" s="81" t="s">
        <v>1091</v>
      </c>
      <c r="BD23" s="77">
        <v>36297407</v>
      </c>
      <c r="BE23" s="77"/>
      <c r="BF23" s="77"/>
      <c r="BG23" s="77"/>
      <c r="BH23" s="77"/>
      <c r="BI23" s="77"/>
      <c r="BJ23">
        <v>1</v>
      </c>
      <c r="BK23" s="76" t="str">
        <f>REPLACE(INDEX(GroupVertices[Group],MATCH("~"&amp;Edges27[[#This Row],[Vertex 1]],GroupVertices[Vertex],0)),1,1,"")</f>
        <v>60</v>
      </c>
      <c r="BL23" s="76" t="str">
        <f>REPLACE(INDEX(GroupVertices[Group],MATCH("~"&amp;Edges27[[#This Row],[Vertex 2]],GroupVertices[Vertex],0)),1,1,"")</f>
        <v>60</v>
      </c>
      <c r="BM23" s="45">
        <v>3</v>
      </c>
      <c r="BN23" s="46">
        <v>12</v>
      </c>
      <c r="BO23" s="45">
        <v>1</v>
      </c>
      <c r="BP23" s="46">
        <v>4</v>
      </c>
      <c r="BQ23" s="45">
        <v>0</v>
      </c>
      <c r="BR23" s="46">
        <v>0</v>
      </c>
      <c r="BS23" s="45">
        <v>7</v>
      </c>
      <c r="BT23" s="46">
        <v>28</v>
      </c>
      <c r="BU23" s="45">
        <v>25</v>
      </c>
    </row>
    <row r="24" spans="1:73" ht="15">
      <c r="A24" s="61" t="s">
        <v>241</v>
      </c>
      <c r="B24" s="61" t="s">
        <v>356</v>
      </c>
      <c r="C24" s="62"/>
      <c r="D24" s="63"/>
      <c r="E24" s="64"/>
      <c r="F24" s="65"/>
      <c r="G24" s="62"/>
      <c r="H24" s="66"/>
      <c r="I24" s="67"/>
      <c r="J24" s="67"/>
      <c r="K24" s="31" t="s">
        <v>65</v>
      </c>
      <c r="L24" s="75">
        <v>32</v>
      </c>
      <c r="M24" s="75"/>
      <c r="N24" s="69"/>
      <c r="O24" s="77" t="s">
        <v>437</v>
      </c>
      <c r="P24" s="79">
        <v>45263.270682870374</v>
      </c>
      <c r="Q24" s="77" t="s">
        <v>462</v>
      </c>
      <c r="R24" s="77">
        <v>0</v>
      </c>
      <c r="S24" s="77">
        <v>0</v>
      </c>
      <c r="T24" s="77">
        <v>1</v>
      </c>
      <c r="U24" s="77">
        <v>0</v>
      </c>
      <c r="V24" s="77">
        <v>23</v>
      </c>
      <c r="W24" s="77"/>
      <c r="X24" s="83" t="str">
        <f>HYPERLINK("https://www.cnbc.com/2019/10/10/trump-defends-allowing-turkish-offensive-on-kurds-in-syria-they-didnt-help-us-in-ww2.html")</f>
        <v>https://www.cnbc.com/2019/10/10/trump-defends-allowing-turkish-offensive-on-kurds-in-syria-they-didnt-help-us-in-ww2.html</v>
      </c>
      <c r="Y24" s="77" t="s">
        <v>600</v>
      </c>
      <c r="Z24" s="77" t="s">
        <v>625</v>
      </c>
      <c r="AA24" s="77" t="s">
        <v>650</v>
      </c>
      <c r="AB24" s="77" t="s">
        <v>671</v>
      </c>
      <c r="AC24" s="81" t="s">
        <v>677</v>
      </c>
      <c r="AD24" s="77" t="s">
        <v>686</v>
      </c>
      <c r="AE24" s="83" t="str">
        <f>HYPERLINK("https://twitter.com/tina67536990/status/1731199031660188151")</f>
        <v>https://twitter.com/tina67536990/status/1731199031660188151</v>
      </c>
      <c r="AF24" s="79">
        <v>45263.270682870374</v>
      </c>
      <c r="AG24" s="85">
        <v>45263</v>
      </c>
      <c r="AH24" s="81" t="s">
        <v>707</v>
      </c>
      <c r="AI24" s="77" t="b">
        <v>0</v>
      </c>
      <c r="AJ24" s="77" t="s">
        <v>828</v>
      </c>
      <c r="AK24" s="77" t="s">
        <v>849</v>
      </c>
      <c r="AL24" s="77" t="s">
        <v>850</v>
      </c>
      <c r="AM24" s="77" t="s">
        <v>852</v>
      </c>
      <c r="AN24" s="77" t="s">
        <v>874</v>
      </c>
      <c r="AO24" s="77" t="s">
        <v>896</v>
      </c>
      <c r="AP24" s="77" t="s">
        <v>917</v>
      </c>
      <c r="AQ24" s="77" t="s">
        <v>921</v>
      </c>
      <c r="AR24" s="77"/>
      <c r="AS24" s="77"/>
      <c r="AT24" s="77"/>
      <c r="AU24" s="77"/>
      <c r="AV24" s="83" t="str">
        <f>HYPERLINK("https://pbs.twimg.com/media/GAZ0V8WbgAAvdxE.jpg")</f>
        <v>https://pbs.twimg.com/media/GAZ0V8WbgAAvdxE.jpg</v>
      </c>
      <c r="AW24" s="81" t="s">
        <v>960</v>
      </c>
      <c r="AX24" s="81" t="s">
        <v>1092</v>
      </c>
      <c r="AY24" s="81" t="s">
        <v>1157</v>
      </c>
      <c r="AZ24" s="81" t="s">
        <v>1212</v>
      </c>
      <c r="BA24" s="81" t="s">
        <v>1210</v>
      </c>
      <c r="BB24" s="81" t="s">
        <v>1210</v>
      </c>
      <c r="BC24" s="81" t="s">
        <v>1212</v>
      </c>
      <c r="BD24" s="81" t="s">
        <v>1243</v>
      </c>
      <c r="BE24" s="77"/>
      <c r="BF24" s="77"/>
      <c r="BG24" s="77"/>
      <c r="BH24" s="77"/>
      <c r="BI24" s="77"/>
      <c r="BJ24">
        <v>1</v>
      </c>
      <c r="BK24" s="76" t="str">
        <f>REPLACE(INDEX(GroupVertices[Group],MATCH("~"&amp;Edges27[[#This Row],[Vertex 1]],GroupVertices[Vertex],0)),1,1,"")</f>
        <v>21</v>
      </c>
      <c r="BL24" s="76" t="str">
        <f>REPLACE(INDEX(GroupVertices[Group],MATCH("~"&amp;Edges27[[#This Row],[Vertex 2]],GroupVertices[Vertex],0)),1,1,"")</f>
        <v>21</v>
      </c>
      <c r="BM24" s="45"/>
      <c r="BN24" s="46"/>
      <c r="BO24" s="45"/>
      <c r="BP24" s="46"/>
      <c r="BQ24" s="45"/>
      <c r="BR24" s="46"/>
      <c r="BS24" s="45"/>
      <c r="BT24" s="46"/>
      <c r="BU24" s="45"/>
    </row>
    <row r="25" spans="1:73" ht="15">
      <c r="A25" s="61" t="s">
        <v>242</v>
      </c>
      <c r="B25" s="61" t="s">
        <v>242</v>
      </c>
      <c r="C25" s="62"/>
      <c r="D25" s="63"/>
      <c r="E25" s="64"/>
      <c r="F25" s="65"/>
      <c r="G25" s="62"/>
      <c r="H25" s="66"/>
      <c r="I25" s="67"/>
      <c r="J25" s="67"/>
      <c r="K25" s="31" t="s">
        <v>65</v>
      </c>
      <c r="L25" s="75">
        <v>34</v>
      </c>
      <c r="M25" s="75"/>
      <c r="N25" s="69"/>
      <c r="O25" s="77" t="s">
        <v>178</v>
      </c>
      <c r="P25" s="79">
        <v>45302.07380787037</v>
      </c>
      <c r="Q25" s="77" t="s">
        <v>463</v>
      </c>
      <c r="R25" s="77">
        <v>0</v>
      </c>
      <c r="S25" s="77">
        <v>1</v>
      </c>
      <c r="T25" s="77">
        <v>1</v>
      </c>
      <c r="U25" s="77">
        <v>0</v>
      </c>
      <c r="V25" s="77">
        <v>61</v>
      </c>
      <c r="W25" s="81" t="s">
        <v>584</v>
      </c>
      <c r="X25" s="83" t="str">
        <f>HYPERLINK("https://www.thestreet.com/crypto/markets/sec-approves-first-ever-spot-bitcoin-etfs")</f>
        <v>https://www.thestreet.com/crypto/markets/sec-approves-first-ever-spot-bitcoin-etfs</v>
      </c>
      <c r="Y25" s="77" t="s">
        <v>601</v>
      </c>
      <c r="Z25" s="77"/>
      <c r="AA25" s="77"/>
      <c r="AB25" s="77"/>
      <c r="AC25" s="81" t="s">
        <v>677</v>
      </c>
      <c r="AD25" s="77" t="s">
        <v>686</v>
      </c>
      <c r="AE25" s="83" t="str">
        <f>HYPERLINK("https://twitter.com/rls2231404958/status/1745260812602921283")</f>
        <v>https://twitter.com/rls2231404958/status/1745260812602921283</v>
      </c>
      <c r="AF25" s="79">
        <v>45302.07380787037</v>
      </c>
      <c r="AG25" s="85">
        <v>45302</v>
      </c>
      <c r="AH25" s="81" t="s">
        <v>708</v>
      </c>
      <c r="AI25" s="77" t="b">
        <v>0</v>
      </c>
      <c r="AJ25" s="77" t="s">
        <v>828</v>
      </c>
      <c r="AK25" s="77" t="s">
        <v>849</v>
      </c>
      <c r="AL25" s="77" t="s">
        <v>850</v>
      </c>
      <c r="AM25" s="77" t="s">
        <v>852</v>
      </c>
      <c r="AN25" s="77" t="s">
        <v>874</v>
      </c>
      <c r="AO25" s="77" t="s">
        <v>896</v>
      </c>
      <c r="AP25" s="77" t="s">
        <v>917</v>
      </c>
      <c r="AQ25" s="77"/>
      <c r="AR25" s="77"/>
      <c r="AS25" s="77"/>
      <c r="AT25" s="77"/>
      <c r="AU25" s="77"/>
      <c r="AV25" s="83" t="str">
        <f>HYPERLINK("https://pbs.twimg.com/profile_images/1726605352899391489/oKG__d7L_normal.jpg")</f>
        <v>https://pbs.twimg.com/profile_images/1726605352899391489/oKG__d7L_normal.jpg</v>
      </c>
      <c r="AW25" s="81" t="s">
        <v>961</v>
      </c>
      <c r="AX25" s="81" t="s">
        <v>961</v>
      </c>
      <c r="AY25" s="77"/>
      <c r="AZ25" s="81" t="s">
        <v>1210</v>
      </c>
      <c r="BA25" s="81" t="s">
        <v>1210</v>
      </c>
      <c r="BB25" s="81" t="s">
        <v>1210</v>
      </c>
      <c r="BC25" s="81" t="s">
        <v>961</v>
      </c>
      <c r="BD25" s="81" t="s">
        <v>1244</v>
      </c>
      <c r="BE25" s="77"/>
      <c r="BF25" s="77"/>
      <c r="BG25" s="77"/>
      <c r="BH25" s="77"/>
      <c r="BI25" s="77"/>
      <c r="BJ25">
        <v>1</v>
      </c>
      <c r="BK25" s="76" t="str">
        <f>REPLACE(INDEX(GroupVertices[Group],MATCH("~"&amp;Edges27[[#This Row],[Vertex 1]],GroupVertices[Vertex],0)),1,1,"")</f>
        <v>1</v>
      </c>
      <c r="BL25" s="76" t="str">
        <f>REPLACE(INDEX(GroupVertices[Group],MATCH("~"&amp;Edges27[[#This Row],[Vertex 2]],GroupVertices[Vertex],0)),1,1,"")</f>
        <v>1</v>
      </c>
      <c r="BM25" s="45">
        <v>2</v>
      </c>
      <c r="BN25" s="46">
        <v>5.555555555555555</v>
      </c>
      <c r="BO25" s="45">
        <v>1</v>
      </c>
      <c r="BP25" s="46">
        <v>2.7777777777777777</v>
      </c>
      <c r="BQ25" s="45">
        <v>0</v>
      </c>
      <c r="BR25" s="46">
        <v>0</v>
      </c>
      <c r="BS25" s="45">
        <v>18</v>
      </c>
      <c r="BT25" s="46">
        <v>50</v>
      </c>
      <c r="BU25" s="45">
        <v>36</v>
      </c>
    </row>
    <row r="26" spans="1:73" ht="15">
      <c r="A26" s="61" t="s">
        <v>243</v>
      </c>
      <c r="B26" s="61" t="s">
        <v>358</v>
      </c>
      <c r="C26" s="62"/>
      <c r="D26" s="63"/>
      <c r="E26" s="64"/>
      <c r="F26" s="65"/>
      <c r="G26" s="62"/>
      <c r="H26" s="66"/>
      <c r="I26" s="67"/>
      <c r="J26" s="67"/>
      <c r="K26" s="31" t="s">
        <v>65</v>
      </c>
      <c r="L26" s="75">
        <v>35</v>
      </c>
      <c r="M26" s="75"/>
      <c r="N26" s="69"/>
      <c r="O26" s="77" t="s">
        <v>438</v>
      </c>
      <c r="P26" s="79">
        <v>45218.10292824074</v>
      </c>
      <c r="Q26" s="77" t="s">
        <v>464</v>
      </c>
      <c r="R26" s="77">
        <v>1</v>
      </c>
      <c r="S26" s="77">
        <v>10</v>
      </c>
      <c r="T26" s="77">
        <v>2</v>
      </c>
      <c r="U26" s="77">
        <v>0</v>
      </c>
      <c r="V26" s="77">
        <v>119</v>
      </c>
      <c r="W26" s="77"/>
      <c r="X26" s="77"/>
      <c r="Y26" s="77"/>
      <c r="Z26" s="77" t="s">
        <v>358</v>
      </c>
      <c r="AA26" s="77" t="s">
        <v>651</v>
      </c>
      <c r="AB26" s="77" t="s">
        <v>671</v>
      </c>
      <c r="AC26" s="81" t="s">
        <v>677</v>
      </c>
      <c r="AD26" s="77" t="s">
        <v>686</v>
      </c>
      <c r="AE26" s="83" t="str">
        <f>HYPERLINK("https://twitter.com/jennife39481653/status/1714830782173532265")</f>
        <v>https://twitter.com/jennife39481653/status/1714830782173532265</v>
      </c>
      <c r="AF26" s="79">
        <v>45218.10292824074</v>
      </c>
      <c r="AG26" s="85">
        <v>45218</v>
      </c>
      <c r="AH26" s="81" t="s">
        <v>709</v>
      </c>
      <c r="AI26" s="77" t="b">
        <v>0</v>
      </c>
      <c r="AJ26" s="77" t="s">
        <v>832</v>
      </c>
      <c r="AK26" s="77" t="s">
        <v>849</v>
      </c>
      <c r="AL26" s="77" t="s">
        <v>850</v>
      </c>
      <c r="AM26" s="77" t="s">
        <v>856</v>
      </c>
      <c r="AN26" s="77" t="s">
        <v>878</v>
      </c>
      <c r="AO26" s="77" t="s">
        <v>900</v>
      </c>
      <c r="AP26" s="77" t="s">
        <v>917</v>
      </c>
      <c r="AQ26" s="77" t="s">
        <v>922</v>
      </c>
      <c r="AR26" s="77"/>
      <c r="AS26" s="77"/>
      <c r="AT26" s="77"/>
      <c r="AU26" s="77"/>
      <c r="AV26" s="83" t="str">
        <f>HYPERLINK("https://pbs.twimg.com/media/F8xNgmCbIAAEi7B.jpg")</f>
        <v>https://pbs.twimg.com/media/F8xNgmCbIAAEi7B.jpg</v>
      </c>
      <c r="AW26" s="81" t="s">
        <v>962</v>
      </c>
      <c r="AX26" s="81" t="s">
        <v>1093</v>
      </c>
      <c r="AY26" s="81" t="s">
        <v>1158</v>
      </c>
      <c r="AZ26" s="81" t="s">
        <v>1093</v>
      </c>
      <c r="BA26" s="81" t="s">
        <v>1210</v>
      </c>
      <c r="BB26" s="81" t="s">
        <v>1210</v>
      </c>
      <c r="BC26" s="81" t="s">
        <v>1093</v>
      </c>
      <c r="BD26" s="81" t="s">
        <v>1245</v>
      </c>
      <c r="BE26" s="77"/>
      <c r="BF26" s="77"/>
      <c r="BG26" s="77"/>
      <c r="BH26" s="77"/>
      <c r="BI26" s="77"/>
      <c r="BJ26">
        <v>1</v>
      </c>
      <c r="BK26" s="76" t="str">
        <f>REPLACE(INDEX(GroupVertices[Group],MATCH("~"&amp;Edges27[[#This Row],[Vertex 1]],GroupVertices[Vertex],0)),1,1,"")</f>
        <v>59</v>
      </c>
      <c r="BL26" s="76" t="str">
        <f>REPLACE(INDEX(GroupVertices[Group],MATCH("~"&amp;Edges27[[#This Row],[Vertex 2]],GroupVertices[Vertex],0)),1,1,"")</f>
        <v>59</v>
      </c>
      <c r="BM26" s="45">
        <v>1</v>
      </c>
      <c r="BN26" s="46">
        <v>3.3333333333333335</v>
      </c>
      <c r="BO26" s="45">
        <v>6</v>
      </c>
      <c r="BP26" s="46">
        <v>20</v>
      </c>
      <c r="BQ26" s="45">
        <v>0</v>
      </c>
      <c r="BR26" s="46">
        <v>0</v>
      </c>
      <c r="BS26" s="45">
        <v>10</v>
      </c>
      <c r="BT26" s="46">
        <v>33.333333333333336</v>
      </c>
      <c r="BU26" s="45">
        <v>30</v>
      </c>
    </row>
    <row r="27" spans="1:73" ht="15">
      <c r="A27" s="61" t="s">
        <v>243</v>
      </c>
      <c r="B27" s="61" t="s">
        <v>243</v>
      </c>
      <c r="C27" s="62"/>
      <c r="D27" s="63"/>
      <c r="E27" s="64"/>
      <c r="F27" s="65"/>
      <c r="G27" s="62"/>
      <c r="H27" s="66"/>
      <c r="I27" s="67"/>
      <c r="J27" s="67"/>
      <c r="K27" s="31" t="s">
        <v>65</v>
      </c>
      <c r="L27" s="75">
        <v>36</v>
      </c>
      <c r="M27" s="75"/>
      <c r="N27" s="69"/>
      <c r="O27" s="77" t="s">
        <v>178</v>
      </c>
      <c r="P27" s="79">
        <v>45268.754594907405</v>
      </c>
      <c r="Q27" s="77" t="s">
        <v>465</v>
      </c>
      <c r="R27" s="77">
        <v>0</v>
      </c>
      <c r="S27" s="77">
        <v>0</v>
      </c>
      <c r="T27" s="77">
        <v>0</v>
      </c>
      <c r="U27" s="77">
        <v>0</v>
      </c>
      <c r="V27" s="77">
        <v>22</v>
      </c>
      <c r="W27" s="81" t="s">
        <v>585</v>
      </c>
      <c r="X27" s="83" t="str">
        <f>HYPERLINK("https://www.aljazeera.com/news/liveblog/2023/12/8/israel-hamas-war-live-palestinians-demand-end-to-israels-gaza-onslaught")</f>
        <v>https://www.aljazeera.com/news/liveblog/2023/12/8/israel-hamas-war-live-palestinians-demand-end-to-israels-gaza-onslaught</v>
      </c>
      <c r="Y27" s="77" t="s">
        <v>602</v>
      </c>
      <c r="Z27" s="77"/>
      <c r="AA27" s="77"/>
      <c r="AB27" s="77"/>
      <c r="AC27" s="81" t="s">
        <v>677</v>
      </c>
      <c r="AD27" s="77" t="s">
        <v>686</v>
      </c>
      <c r="AE27" s="83" t="str">
        <f>HYPERLINK("https://twitter.com/jennife39481653/status/1733186334825857167")</f>
        <v>https://twitter.com/jennife39481653/status/1733186334825857167</v>
      </c>
      <c r="AF27" s="79">
        <v>45268.754594907405</v>
      </c>
      <c r="AG27" s="85">
        <v>45268</v>
      </c>
      <c r="AH27" s="81" t="s">
        <v>710</v>
      </c>
      <c r="AI27" s="77" t="b">
        <v>0</v>
      </c>
      <c r="AJ27" s="77" t="s">
        <v>832</v>
      </c>
      <c r="AK27" s="77" t="s">
        <v>849</v>
      </c>
      <c r="AL27" s="77" t="s">
        <v>850</v>
      </c>
      <c r="AM27" s="77" t="s">
        <v>856</v>
      </c>
      <c r="AN27" s="77" t="s">
        <v>878</v>
      </c>
      <c r="AO27" s="77" t="s">
        <v>900</v>
      </c>
      <c r="AP27" s="77" t="s">
        <v>917</v>
      </c>
      <c r="AQ27" s="77"/>
      <c r="AR27" s="77"/>
      <c r="AS27" s="77"/>
      <c r="AT27" s="77"/>
      <c r="AU27" s="77"/>
      <c r="AV27" s="83" t="str">
        <f>HYPERLINK("https://pbs.twimg.com/profile_images/1683927772098621441/V-jD1C0H_normal.jpg")</f>
        <v>https://pbs.twimg.com/profile_images/1683927772098621441/V-jD1C0H_normal.jpg</v>
      </c>
      <c r="AW27" s="81" t="s">
        <v>963</v>
      </c>
      <c r="AX27" s="81" t="s">
        <v>963</v>
      </c>
      <c r="AY27" s="77"/>
      <c r="AZ27" s="81" t="s">
        <v>1210</v>
      </c>
      <c r="BA27" s="81" t="s">
        <v>1210</v>
      </c>
      <c r="BB27" s="81" t="s">
        <v>1210</v>
      </c>
      <c r="BC27" s="81" t="s">
        <v>963</v>
      </c>
      <c r="BD27" s="81" t="s">
        <v>1245</v>
      </c>
      <c r="BE27" s="77"/>
      <c r="BF27" s="77"/>
      <c r="BG27" s="77"/>
      <c r="BH27" s="77"/>
      <c r="BI27" s="77"/>
      <c r="BJ27">
        <v>1</v>
      </c>
      <c r="BK27" s="76" t="str">
        <f>REPLACE(INDEX(GroupVertices[Group],MATCH("~"&amp;Edges27[[#This Row],[Vertex 1]],GroupVertices[Vertex],0)),1,1,"")</f>
        <v>59</v>
      </c>
      <c r="BL27" s="76" t="str">
        <f>REPLACE(INDEX(GroupVertices[Group],MATCH("~"&amp;Edges27[[#This Row],[Vertex 2]],GroupVertices[Vertex],0)),1,1,"")</f>
        <v>59</v>
      </c>
      <c r="BM27" s="45">
        <v>0</v>
      </c>
      <c r="BN27" s="46">
        <v>0</v>
      </c>
      <c r="BO27" s="45">
        <v>3</v>
      </c>
      <c r="BP27" s="46">
        <v>17.647058823529413</v>
      </c>
      <c r="BQ27" s="45">
        <v>0</v>
      </c>
      <c r="BR27" s="46">
        <v>0</v>
      </c>
      <c r="BS27" s="45">
        <v>9</v>
      </c>
      <c r="BT27" s="46">
        <v>52.94117647058823</v>
      </c>
      <c r="BU27" s="45">
        <v>17</v>
      </c>
    </row>
    <row r="28" spans="1:73" ht="15">
      <c r="A28" s="61" t="s">
        <v>244</v>
      </c>
      <c r="B28" s="61" t="s">
        <v>359</v>
      </c>
      <c r="C28" s="62"/>
      <c r="D28" s="63"/>
      <c r="E28" s="64"/>
      <c r="F28" s="65"/>
      <c r="G28" s="62"/>
      <c r="H28" s="66"/>
      <c r="I28" s="67"/>
      <c r="J28" s="67"/>
      <c r="K28" s="31" t="s">
        <v>65</v>
      </c>
      <c r="L28" s="75">
        <v>37</v>
      </c>
      <c r="M28" s="75"/>
      <c r="N28" s="69"/>
      <c r="O28" s="77" t="s">
        <v>437</v>
      </c>
      <c r="P28" s="79">
        <v>45095.77378472222</v>
      </c>
      <c r="Q28" s="77" t="s">
        <v>466</v>
      </c>
      <c r="R28" s="77">
        <v>0</v>
      </c>
      <c r="S28" s="77">
        <v>1</v>
      </c>
      <c r="T28" s="77">
        <v>2</v>
      </c>
      <c r="U28" s="77">
        <v>0</v>
      </c>
      <c r="V28" s="77">
        <v>42</v>
      </c>
      <c r="W28" s="77"/>
      <c r="X28" s="77"/>
      <c r="Y28" s="77"/>
      <c r="Z28" s="77" t="s">
        <v>626</v>
      </c>
      <c r="AA28" s="77"/>
      <c r="AB28" s="77"/>
      <c r="AC28" s="81" t="s">
        <v>674</v>
      </c>
      <c r="AD28" s="77" t="s">
        <v>686</v>
      </c>
      <c r="AE28" s="83" t="str">
        <f>HYPERLINK("https://twitter.com/khazeni/status/1670500185171173376")</f>
        <v>https://twitter.com/khazeni/status/1670500185171173376</v>
      </c>
      <c r="AF28" s="79">
        <v>45095.77378472222</v>
      </c>
      <c r="AG28" s="85">
        <v>45095</v>
      </c>
      <c r="AH28" s="81" t="s">
        <v>711</v>
      </c>
      <c r="AI28" s="77"/>
      <c r="AJ28" s="77" t="s">
        <v>828</v>
      </c>
      <c r="AK28" s="77" t="s">
        <v>849</v>
      </c>
      <c r="AL28" s="77" t="s">
        <v>850</v>
      </c>
      <c r="AM28" s="77" t="s">
        <v>852</v>
      </c>
      <c r="AN28" s="77" t="s">
        <v>874</v>
      </c>
      <c r="AO28" s="77" t="s">
        <v>896</v>
      </c>
      <c r="AP28" s="77" t="s">
        <v>917</v>
      </c>
      <c r="AQ28" s="77"/>
      <c r="AR28" s="77"/>
      <c r="AS28" s="77"/>
      <c r="AT28" s="77"/>
      <c r="AU28" s="77"/>
      <c r="AV28" s="83" t="str">
        <f>HYPERLINK("https://pbs.twimg.com/profile_images/2717311346/936f3d589111deee707b8c55aad2bc56_normal.jpeg")</f>
        <v>https://pbs.twimg.com/profile_images/2717311346/936f3d589111deee707b8c55aad2bc56_normal.jpeg</v>
      </c>
      <c r="AW28" s="81" t="s">
        <v>964</v>
      </c>
      <c r="AX28" s="81" t="s">
        <v>1094</v>
      </c>
      <c r="AY28" s="81" t="s">
        <v>1159</v>
      </c>
      <c r="AZ28" s="81" t="s">
        <v>1213</v>
      </c>
      <c r="BA28" s="81" t="s">
        <v>1210</v>
      </c>
      <c r="BB28" s="81" t="s">
        <v>1210</v>
      </c>
      <c r="BC28" s="81" t="s">
        <v>1213</v>
      </c>
      <c r="BD28" s="77">
        <v>47545907</v>
      </c>
      <c r="BE28" s="77"/>
      <c r="BF28" s="77"/>
      <c r="BG28" s="77"/>
      <c r="BH28" s="77"/>
      <c r="BI28" s="77"/>
      <c r="BJ28">
        <v>1</v>
      </c>
      <c r="BK28" s="76" t="str">
        <f>REPLACE(INDEX(GroupVertices[Group],MATCH("~"&amp;Edges27[[#This Row],[Vertex 1]],GroupVertices[Vertex],0)),1,1,"")</f>
        <v>7</v>
      </c>
      <c r="BL28" s="76" t="str">
        <f>REPLACE(INDEX(GroupVertices[Group],MATCH("~"&amp;Edges27[[#This Row],[Vertex 2]],GroupVertices[Vertex],0)),1,1,"")</f>
        <v>7</v>
      </c>
      <c r="BM28" s="45"/>
      <c r="BN28" s="46"/>
      <c r="BO28" s="45"/>
      <c r="BP28" s="46"/>
      <c r="BQ28" s="45"/>
      <c r="BR28" s="46"/>
      <c r="BS28" s="45"/>
      <c r="BT28" s="46"/>
      <c r="BU28" s="45"/>
    </row>
    <row r="29" spans="1:73" ht="15">
      <c r="A29" s="61" t="s">
        <v>245</v>
      </c>
      <c r="B29" s="61" t="s">
        <v>317</v>
      </c>
      <c r="C29" s="62"/>
      <c r="D29" s="63"/>
      <c r="E29" s="64"/>
      <c r="F29" s="65"/>
      <c r="G29" s="62"/>
      <c r="H29" s="66"/>
      <c r="I29" s="67"/>
      <c r="J29" s="67"/>
      <c r="K29" s="31" t="s">
        <v>65</v>
      </c>
      <c r="L29" s="75">
        <v>41</v>
      </c>
      <c r="M29" s="75"/>
      <c r="N29" s="69"/>
      <c r="O29" s="77" t="s">
        <v>439</v>
      </c>
      <c r="P29" s="79">
        <v>45215.178298611114</v>
      </c>
      <c r="Q29" s="77" t="s">
        <v>467</v>
      </c>
      <c r="R29" s="77">
        <v>0</v>
      </c>
      <c r="S29" s="77">
        <v>8</v>
      </c>
      <c r="T29" s="77">
        <v>0</v>
      </c>
      <c r="U29" s="77">
        <v>0</v>
      </c>
      <c r="V29" s="77">
        <v>667</v>
      </c>
      <c r="W29" s="77"/>
      <c r="X29" s="77"/>
      <c r="Y29" s="77"/>
      <c r="Z29" s="77"/>
      <c r="AA29" s="77"/>
      <c r="AB29" s="77"/>
      <c r="AC29" s="81" t="s">
        <v>674</v>
      </c>
      <c r="AD29" s="77" t="s">
        <v>686</v>
      </c>
      <c r="AE29" s="83" t="str">
        <f>HYPERLINK("https://twitter.com/izi_kljucanin/status/1713770934107251164")</f>
        <v>https://twitter.com/izi_kljucanin/status/1713770934107251164</v>
      </c>
      <c r="AF29" s="79">
        <v>45215.178298611114</v>
      </c>
      <c r="AG29" s="85">
        <v>45215</v>
      </c>
      <c r="AH29" s="81" t="s">
        <v>712</v>
      </c>
      <c r="AI29" s="77"/>
      <c r="AJ29" s="77" t="s">
        <v>833</v>
      </c>
      <c r="AK29" s="77" t="s">
        <v>849</v>
      </c>
      <c r="AL29" s="77" t="s">
        <v>850</v>
      </c>
      <c r="AM29" s="77" t="s">
        <v>857</v>
      </c>
      <c r="AN29" s="77" t="s">
        <v>879</v>
      </c>
      <c r="AO29" s="77" t="s">
        <v>901</v>
      </c>
      <c r="AP29" s="77" t="s">
        <v>917</v>
      </c>
      <c r="AQ29" s="77"/>
      <c r="AR29" s="77"/>
      <c r="AS29" s="77"/>
      <c r="AT29" s="77"/>
      <c r="AU29" s="77"/>
      <c r="AV29" s="83" t="str">
        <f>HYPERLINK("https://pbs.twimg.com/profile_images/1550566428624961538/ZQRbRpAa_normal.jpg")</f>
        <v>https://pbs.twimg.com/profile_images/1550566428624961538/ZQRbRpAa_normal.jpg</v>
      </c>
      <c r="AW29" s="81" t="s">
        <v>965</v>
      </c>
      <c r="AX29" s="81" t="s">
        <v>965</v>
      </c>
      <c r="AY29" s="77"/>
      <c r="AZ29" s="81" t="s">
        <v>1210</v>
      </c>
      <c r="BA29" s="81" t="s">
        <v>1052</v>
      </c>
      <c r="BB29" s="81" t="s">
        <v>1210</v>
      </c>
      <c r="BC29" s="81" t="s">
        <v>1052</v>
      </c>
      <c r="BD29" s="77">
        <v>574698410</v>
      </c>
      <c r="BE29" s="77"/>
      <c r="BF29" s="77"/>
      <c r="BG29" s="77"/>
      <c r="BH29" s="77"/>
      <c r="BI29" s="77"/>
      <c r="BJ29">
        <v>1</v>
      </c>
      <c r="BK29" s="76" t="str">
        <f>REPLACE(INDEX(GroupVertices[Group],MATCH("~"&amp;Edges27[[#This Row],[Vertex 1]],GroupVertices[Vertex],0)),1,1,"")</f>
        <v>12</v>
      </c>
      <c r="BL29" s="76" t="str">
        <f>REPLACE(INDEX(GroupVertices[Group],MATCH("~"&amp;Edges27[[#This Row],[Vertex 2]],GroupVertices[Vertex],0)),1,1,"")</f>
        <v>12</v>
      </c>
      <c r="BM29" s="45">
        <v>1</v>
      </c>
      <c r="BN29" s="46">
        <v>2.272727272727273</v>
      </c>
      <c r="BO29" s="45">
        <v>4</v>
      </c>
      <c r="BP29" s="46">
        <v>9.090909090909092</v>
      </c>
      <c r="BQ29" s="45">
        <v>0</v>
      </c>
      <c r="BR29" s="46">
        <v>0</v>
      </c>
      <c r="BS29" s="45">
        <v>16</v>
      </c>
      <c r="BT29" s="46">
        <v>36.36363636363637</v>
      </c>
      <c r="BU29" s="45">
        <v>44</v>
      </c>
    </row>
    <row r="30" spans="1:73" ht="15">
      <c r="A30" s="61" t="s">
        <v>246</v>
      </c>
      <c r="B30" s="61" t="s">
        <v>363</v>
      </c>
      <c r="C30" s="62"/>
      <c r="D30" s="63"/>
      <c r="E30" s="64"/>
      <c r="F30" s="65"/>
      <c r="G30" s="62"/>
      <c r="H30" s="66"/>
      <c r="I30" s="67"/>
      <c r="J30" s="67"/>
      <c r="K30" s="31" t="s">
        <v>65</v>
      </c>
      <c r="L30" s="75">
        <v>42</v>
      </c>
      <c r="M30" s="75"/>
      <c r="N30" s="69"/>
      <c r="O30" s="77" t="s">
        <v>438</v>
      </c>
      <c r="P30" s="79">
        <v>45314.83037037037</v>
      </c>
      <c r="Q30" s="77" t="s">
        <v>468</v>
      </c>
      <c r="R30" s="77">
        <v>0</v>
      </c>
      <c r="S30" s="77">
        <v>0</v>
      </c>
      <c r="T30" s="77">
        <v>1</v>
      </c>
      <c r="U30" s="77">
        <v>0</v>
      </c>
      <c r="V30" s="77">
        <v>55</v>
      </c>
      <c r="W30" s="77"/>
      <c r="X30" s="77"/>
      <c r="Y30" s="77"/>
      <c r="Z30" s="77" t="s">
        <v>627</v>
      </c>
      <c r="AA30" s="77"/>
      <c r="AB30" s="77"/>
      <c r="AC30" s="81" t="s">
        <v>675</v>
      </c>
      <c r="AD30" s="77" t="s">
        <v>686</v>
      </c>
      <c r="AE30" s="83" t="str">
        <f>HYPERLINK("https://twitter.com/sfmission2/status/1749883635510223077")</f>
        <v>https://twitter.com/sfmission2/status/1749883635510223077</v>
      </c>
      <c r="AF30" s="79">
        <v>45314.83037037037</v>
      </c>
      <c r="AG30" s="85">
        <v>45314</v>
      </c>
      <c r="AH30" s="81" t="s">
        <v>713</v>
      </c>
      <c r="AI30" s="77"/>
      <c r="AJ30" s="77"/>
      <c r="AK30" s="77"/>
      <c r="AL30" s="77"/>
      <c r="AM30" s="77"/>
      <c r="AN30" s="77"/>
      <c r="AO30" s="77"/>
      <c r="AP30" s="77"/>
      <c r="AQ30" s="77"/>
      <c r="AR30" s="77"/>
      <c r="AS30" s="77"/>
      <c r="AT30" s="77"/>
      <c r="AU30" s="77"/>
      <c r="AV30" s="83" t="str">
        <f>HYPERLINK("https://pbs.twimg.com/profile_images/1691930509339967488/75q8qq0c_normal.jpg")</f>
        <v>https://pbs.twimg.com/profile_images/1691930509339967488/75q8qq0c_normal.jpg</v>
      </c>
      <c r="AW30" s="81" t="s">
        <v>966</v>
      </c>
      <c r="AX30" s="81" t="s">
        <v>1095</v>
      </c>
      <c r="AY30" s="81" t="s">
        <v>1160</v>
      </c>
      <c r="AZ30" s="81" t="s">
        <v>1214</v>
      </c>
      <c r="BA30" s="81" t="s">
        <v>1210</v>
      </c>
      <c r="BB30" s="81" t="s">
        <v>1210</v>
      </c>
      <c r="BC30" s="81" t="s">
        <v>1214</v>
      </c>
      <c r="BD30" s="81" t="s">
        <v>1246</v>
      </c>
      <c r="BE30" s="77"/>
      <c r="BF30" s="77"/>
      <c r="BG30" s="77"/>
      <c r="BH30" s="77"/>
      <c r="BI30" s="77"/>
      <c r="BJ30">
        <v>2</v>
      </c>
      <c r="BK30" s="76" t="str">
        <f>REPLACE(INDEX(GroupVertices[Group],MATCH("~"&amp;Edges27[[#This Row],[Vertex 1]],GroupVertices[Vertex],0)),1,1,"")</f>
        <v>2</v>
      </c>
      <c r="BL30" s="76" t="str">
        <f>REPLACE(INDEX(GroupVertices[Group],MATCH("~"&amp;Edges27[[#This Row],[Vertex 2]],GroupVertices[Vertex],0)),1,1,"")</f>
        <v>2</v>
      </c>
      <c r="BM30" s="45"/>
      <c r="BN30" s="46"/>
      <c r="BO30" s="45"/>
      <c r="BP30" s="46"/>
      <c r="BQ30" s="45"/>
      <c r="BR30" s="46"/>
      <c r="BS30" s="45"/>
      <c r="BT30" s="46"/>
      <c r="BU30" s="45"/>
    </row>
    <row r="31" spans="1:73" ht="15">
      <c r="A31" s="61" t="s">
        <v>246</v>
      </c>
      <c r="B31" s="61" t="s">
        <v>363</v>
      </c>
      <c r="C31" s="62"/>
      <c r="D31" s="63"/>
      <c r="E31" s="64"/>
      <c r="F31" s="65"/>
      <c r="G31" s="62"/>
      <c r="H31" s="66"/>
      <c r="I31" s="67"/>
      <c r="J31" s="67"/>
      <c r="K31" s="31" t="s">
        <v>65</v>
      </c>
      <c r="L31" s="75">
        <v>43</v>
      </c>
      <c r="M31" s="75"/>
      <c r="N31" s="69"/>
      <c r="O31" s="77" t="s">
        <v>438</v>
      </c>
      <c r="P31" s="79">
        <v>45314.82480324074</v>
      </c>
      <c r="Q31" s="77" t="s">
        <v>469</v>
      </c>
      <c r="R31" s="77">
        <v>0</v>
      </c>
      <c r="S31" s="77">
        <v>0</v>
      </c>
      <c r="T31" s="77">
        <v>1</v>
      </c>
      <c r="U31" s="77">
        <v>0</v>
      </c>
      <c r="V31" s="77">
        <v>48</v>
      </c>
      <c r="W31" s="77"/>
      <c r="X31" s="77"/>
      <c r="Y31" s="77"/>
      <c r="Z31" s="77" t="s">
        <v>627</v>
      </c>
      <c r="AA31" s="77"/>
      <c r="AB31" s="77"/>
      <c r="AC31" s="81" t="s">
        <v>675</v>
      </c>
      <c r="AD31" s="77" t="s">
        <v>686</v>
      </c>
      <c r="AE31" s="83" t="str">
        <f>HYPERLINK("https://twitter.com/sfmission2/status/1749881619031441597")</f>
        <v>https://twitter.com/sfmission2/status/1749881619031441597</v>
      </c>
      <c r="AF31" s="79">
        <v>45314.82480324074</v>
      </c>
      <c r="AG31" s="85">
        <v>45314</v>
      </c>
      <c r="AH31" s="81" t="s">
        <v>714</v>
      </c>
      <c r="AI31" s="77"/>
      <c r="AJ31" s="77"/>
      <c r="AK31" s="77"/>
      <c r="AL31" s="77"/>
      <c r="AM31" s="77"/>
      <c r="AN31" s="77"/>
      <c r="AO31" s="77"/>
      <c r="AP31" s="77"/>
      <c r="AQ31" s="77"/>
      <c r="AR31" s="77"/>
      <c r="AS31" s="77"/>
      <c r="AT31" s="77"/>
      <c r="AU31" s="77"/>
      <c r="AV31" s="83" t="str">
        <f>HYPERLINK("https://pbs.twimg.com/profile_images/1691930509339967488/75q8qq0c_normal.jpg")</f>
        <v>https://pbs.twimg.com/profile_images/1691930509339967488/75q8qq0c_normal.jpg</v>
      </c>
      <c r="AW31" s="81" t="s">
        <v>967</v>
      </c>
      <c r="AX31" s="81" t="s">
        <v>1095</v>
      </c>
      <c r="AY31" s="81" t="s">
        <v>1160</v>
      </c>
      <c r="AZ31" s="81" t="s">
        <v>1215</v>
      </c>
      <c r="BA31" s="81" t="s">
        <v>1210</v>
      </c>
      <c r="BB31" s="81" t="s">
        <v>1210</v>
      </c>
      <c r="BC31" s="81" t="s">
        <v>1215</v>
      </c>
      <c r="BD31" s="81" t="s">
        <v>1246</v>
      </c>
      <c r="BE31" s="77"/>
      <c r="BF31" s="77"/>
      <c r="BG31" s="77"/>
      <c r="BH31" s="77"/>
      <c r="BI31" s="77"/>
      <c r="BJ31">
        <v>2</v>
      </c>
      <c r="BK31" s="76" t="str">
        <f>REPLACE(INDEX(GroupVertices[Group],MATCH("~"&amp;Edges27[[#This Row],[Vertex 1]],GroupVertices[Vertex],0)),1,1,"")</f>
        <v>2</v>
      </c>
      <c r="BL31" s="76" t="str">
        <f>REPLACE(INDEX(GroupVertices[Group],MATCH("~"&amp;Edges27[[#This Row],[Vertex 2]],GroupVertices[Vertex],0)),1,1,"")</f>
        <v>2</v>
      </c>
      <c r="BM31" s="45"/>
      <c r="BN31" s="46"/>
      <c r="BO31" s="45"/>
      <c r="BP31" s="46"/>
      <c r="BQ31" s="45"/>
      <c r="BR31" s="46"/>
      <c r="BS31" s="45"/>
      <c r="BT31" s="46"/>
      <c r="BU31" s="45"/>
    </row>
    <row r="32" spans="1:73" ht="15">
      <c r="A32" s="61" t="s">
        <v>247</v>
      </c>
      <c r="B32" s="61" t="s">
        <v>247</v>
      </c>
      <c r="C32" s="62"/>
      <c r="D32" s="63"/>
      <c r="E32" s="64"/>
      <c r="F32" s="65"/>
      <c r="G32" s="62"/>
      <c r="H32" s="66"/>
      <c r="I32" s="67"/>
      <c r="J32" s="67"/>
      <c r="K32" s="31" t="s">
        <v>65</v>
      </c>
      <c r="L32" s="75">
        <v>48</v>
      </c>
      <c r="M32" s="75"/>
      <c r="N32" s="69"/>
      <c r="O32" s="77" t="s">
        <v>178</v>
      </c>
      <c r="P32" s="79">
        <v>45318.80951388889</v>
      </c>
      <c r="Q32" s="77" t="s">
        <v>470</v>
      </c>
      <c r="R32" s="77">
        <v>0</v>
      </c>
      <c r="S32" s="77">
        <v>1</v>
      </c>
      <c r="T32" s="77">
        <v>0</v>
      </c>
      <c r="U32" s="77">
        <v>0</v>
      </c>
      <c r="V32" s="77">
        <v>117</v>
      </c>
      <c r="W32" s="77"/>
      <c r="X32" s="77"/>
      <c r="Y32" s="77"/>
      <c r="Z32" s="77"/>
      <c r="AA32" s="77"/>
      <c r="AB32" s="77"/>
      <c r="AC32" s="81" t="s">
        <v>674</v>
      </c>
      <c r="AD32" s="77" t="s">
        <v>686</v>
      </c>
      <c r="AE32" s="83" t="str">
        <f>HYPERLINK("https://twitter.com/samfacto/status/1751325628740292758")</f>
        <v>https://twitter.com/samfacto/status/1751325628740292758</v>
      </c>
      <c r="AF32" s="79">
        <v>45318.80951388889</v>
      </c>
      <c r="AG32" s="85">
        <v>45318</v>
      </c>
      <c r="AH32" s="81" t="s">
        <v>715</v>
      </c>
      <c r="AI32" s="77"/>
      <c r="AJ32" s="77"/>
      <c r="AK32" s="77"/>
      <c r="AL32" s="77"/>
      <c r="AM32" s="77"/>
      <c r="AN32" s="77"/>
      <c r="AO32" s="77"/>
      <c r="AP32" s="77"/>
      <c r="AQ32" s="77"/>
      <c r="AR32" s="77"/>
      <c r="AS32" s="77"/>
      <c r="AT32" s="77"/>
      <c r="AU32" s="77"/>
      <c r="AV32" s="83" t="str">
        <f>HYPERLINK("https://pbs.twimg.com/profile_images/1740133479357227008/M7cnTK0g_normal.jpg")</f>
        <v>https://pbs.twimg.com/profile_images/1740133479357227008/M7cnTK0g_normal.jpg</v>
      </c>
      <c r="AW32" s="81" t="s">
        <v>968</v>
      </c>
      <c r="AX32" s="81" t="s">
        <v>968</v>
      </c>
      <c r="AY32" s="77"/>
      <c r="AZ32" s="81" t="s">
        <v>1210</v>
      </c>
      <c r="BA32" s="81" t="s">
        <v>1210</v>
      </c>
      <c r="BB32" s="81" t="s">
        <v>1210</v>
      </c>
      <c r="BC32" s="81" t="s">
        <v>968</v>
      </c>
      <c r="BD32" s="77">
        <v>247073825</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v>0</v>
      </c>
      <c r="BN32" s="46">
        <v>0</v>
      </c>
      <c r="BO32" s="45">
        <v>2</v>
      </c>
      <c r="BP32" s="46">
        <v>11.764705882352942</v>
      </c>
      <c r="BQ32" s="45">
        <v>0</v>
      </c>
      <c r="BR32" s="46">
        <v>0</v>
      </c>
      <c r="BS32" s="45">
        <v>7</v>
      </c>
      <c r="BT32" s="46">
        <v>41.1764705882353</v>
      </c>
      <c r="BU32" s="45">
        <v>17</v>
      </c>
    </row>
    <row r="33" spans="1:73" ht="15">
      <c r="A33" s="61" t="s">
        <v>248</v>
      </c>
      <c r="B33" s="61" t="s">
        <v>364</v>
      </c>
      <c r="C33" s="62"/>
      <c r="D33" s="63"/>
      <c r="E33" s="64"/>
      <c r="F33" s="65"/>
      <c r="G33" s="62"/>
      <c r="H33" s="66"/>
      <c r="I33" s="67"/>
      <c r="J33" s="67"/>
      <c r="K33" s="31" t="s">
        <v>65</v>
      </c>
      <c r="L33" s="75">
        <v>49</v>
      </c>
      <c r="M33" s="75"/>
      <c r="N33" s="69"/>
      <c r="O33" s="77" t="s">
        <v>440</v>
      </c>
      <c r="P33" s="79">
        <v>45314.71150462963</v>
      </c>
      <c r="Q33" s="77" t="s">
        <v>471</v>
      </c>
      <c r="R33" s="77">
        <v>0</v>
      </c>
      <c r="S33" s="77">
        <v>0</v>
      </c>
      <c r="T33" s="77">
        <v>0</v>
      </c>
      <c r="U33" s="77">
        <v>0</v>
      </c>
      <c r="V33" s="77">
        <v>10</v>
      </c>
      <c r="W33" s="77"/>
      <c r="X33" s="83" t="str">
        <f>HYPERLINK("https://nypost.com/2024/01/23/news/israel-says-24-troops-killed-in-gaza-fighting-highest-single-day-toll/?utm_source=twitter&amp;utm_medium=social&amp;utm_campaign=nypost_sitebuttons")</f>
        <v>https://nypost.com/2024/01/23/news/israel-says-24-troops-killed-in-gaza-fighting-highest-single-day-toll/?utm_source=twitter&amp;utm_medium=social&amp;utm_campaign=nypost_sitebuttons</v>
      </c>
      <c r="Y33" s="77" t="s">
        <v>603</v>
      </c>
      <c r="Z33" s="77" t="s">
        <v>364</v>
      </c>
      <c r="AA33" s="77"/>
      <c r="AB33" s="77"/>
      <c r="AC33" s="81" t="s">
        <v>675</v>
      </c>
      <c r="AD33" s="77" t="s">
        <v>686</v>
      </c>
      <c r="AE33" s="83" t="str">
        <f>HYPERLINK("https://twitter.com/robertjkingsbu1/status/1749840560029094028")</f>
        <v>https://twitter.com/robertjkingsbu1/status/1749840560029094028</v>
      </c>
      <c r="AF33" s="79">
        <v>45314.71150462963</v>
      </c>
      <c r="AG33" s="85">
        <v>45314</v>
      </c>
      <c r="AH33" s="81" t="s">
        <v>716</v>
      </c>
      <c r="AI33" s="77" t="b">
        <v>0</v>
      </c>
      <c r="AJ33" s="77"/>
      <c r="AK33" s="77"/>
      <c r="AL33" s="77"/>
      <c r="AM33" s="77"/>
      <c r="AN33" s="77"/>
      <c r="AO33" s="77"/>
      <c r="AP33" s="77"/>
      <c r="AQ33" s="77"/>
      <c r="AR33" s="77"/>
      <c r="AS33" s="77"/>
      <c r="AT33" s="77"/>
      <c r="AU33" s="77"/>
      <c r="AV33" s="83" t="str">
        <f>HYPERLINK("https://pbs.twimg.com/profile_images/1518854310943019008/8GMRH-qX_normal.jpg")</f>
        <v>https://pbs.twimg.com/profile_images/1518854310943019008/8GMRH-qX_normal.jpg</v>
      </c>
      <c r="AW33" s="81" t="s">
        <v>969</v>
      </c>
      <c r="AX33" s="81" t="s">
        <v>969</v>
      </c>
      <c r="AY33" s="77"/>
      <c r="AZ33" s="81" t="s">
        <v>1210</v>
      </c>
      <c r="BA33" s="81" t="s">
        <v>1210</v>
      </c>
      <c r="BB33" s="81" t="s">
        <v>1210</v>
      </c>
      <c r="BC33" s="81" t="s">
        <v>969</v>
      </c>
      <c r="BD33" s="81" t="s">
        <v>1247</v>
      </c>
      <c r="BE33" s="77"/>
      <c r="BF33" s="77"/>
      <c r="BG33" s="77"/>
      <c r="BH33" s="77"/>
      <c r="BI33" s="77"/>
      <c r="BJ33">
        <v>1</v>
      </c>
      <c r="BK33" s="76" t="str">
        <f>REPLACE(INDEX(GroupVertices[Group],MATCH("~"&amp;Edges27[[#This Row],[Vertex 1]],GroupVertices[Vertex],0)),1,1,"")</f>
        <v>58</v>
      </c>
      <c r="BL33" s="76" t="str">
        <f>REPLACE(INDEX(GroupVertices[Group],MATCH("~"&amp;Edges27[[#This Row],[Vertex 2]],GroupVertices[Vertex],0)),1,1,"")</f>
        <v>58</v>
      </c>
      <c r="BM33" s="45">
        <v>0</v>
      </c>
      <c r="BN33" s="46">
        <v>0</v>
      </c>
      <c r="BO33" s="45">
        <v>2</v>
      </c>
      <c r="BP33" s="46">
        <v>11.764705882352942</v>
      </c>
      <c r="BQ33" s="45">
        <v>0</v>
      </c>
      <c r="BR33" s="46">
        <v>0</v>
      </c>
      <c r="BS33" s="45">
        <v>12</v>
      </c>
      <c r="BT33" s="46">
        <v>70.58823529411765</v>
      </c>
      <c r="BU33" s="45">
        <v>17</v>
      </c>
    </row>
    <row r="34" spans="1:73" ht="15">
      <c r="A34" s="61" t="s">
        <v>249</v>
      </c>
      <c r="B34" s="61" t="s">
        <v>249</v>
      </c>
      <c r="C34" s="62"/>
      <c r="D34" s="63"/>
      <c r="E34" s="64"/>
      <c r="F34" s="65"/>
      <c r="G34" s="62"/>
      <c r="H34" s="66"/>
      <c r="I34" s="67"/>
      <c r="J34" s="67"/>
      <c r="K34" s="31" t="s">
        <v>65</v>
      </c>
      <c r="L34" s="75">
        <v>50</v>
      </c>
      <c r="M34" s="75"/>
      <c r="N34" s="69"/>
      <c r="O34" s="77" t="s">
        <v>178</v>
      </c>
      <c r="P34" s="79">
        <v>45315.0715625</v>
      </c>
      <c r="Q34" s="77" t="s">
        <v>472</v>
      </c>
      <c r="R34" s="77">
        <v>0</v>
      </c>
      <c r="S34" s="77">
        <v>1</v>
      </c>
      <c r="T34" s="77">
        <v>0</v>
      </c>
      <c r="U34" s="77">
        <v>0</v>
      </c>
      <c r="V34" s="77">
        <v>205</v>
      </c>
      <c r="W34" s="77"/>
      <c r="X34" s="83" t="str">
        <f>HYPERLINK("http://dlvr.it/T1nZyd")</f>
        <v>http://dlvr.it/T1nZyd</v>
      </c>
      <c r="Y34" s="77" t="s">
        <v>604</v>
      </c>
      <c r="Z34" s="77"/>
      <c r="AA34" s="77"/>
      <c r="AB34" s="77"/>
      <c r="AC34" s="81" t="s">
        <v>604</v>
      </c>
      <c r="AD34" s="77" t="s">
        <v>686</v>
      </c>
      <c r="AE34" s="83" t="str">
        <f>HYPERLINK("https://twitter.com/breakingpdxnews/status/1749971040888029565")</f>
        <v>https://twitter.com/breakingpdxnews/status/1749971040888029565</v>
      </c>
      <c r="AF34" s="79">
        <v>45315.0715625</v>
      </c>
      <c r="AG34" s="85">
        <v>45315</v>
      </c>
      <c r="AH34" s="81" t="s">
        <v>717</v>
      </c>
      <c r="AI34" s="77" t="b">
        <v>0</v>
      </c>
      <c r="AJ34" s="77"/>
      <c r="AK34" s="77"/>
      <c r="AL34" s="77"/>
      <c r="AM34" s="77"/>
      <c r="AN34" s="77"/>
      <c r="AO34" s="77"/>
      <c r="AP34" s="77"/>
      <c r="AQ34" s="77"/>
      <c r="AR34" s="77"/>
      <c r="AS34" s="77"/>
      <c r="AT34" s="77"/>
      <c r="AU34" s="77"/>
      <c r="AV34" s="83" t="str">
        <f>HYPERLINK("https://pbs.twimg.com/profile_images/446227606/DSC02118_normal.JPG")</f>
        <v>https://pbs.twimg.com/profile_images/446227606/DSC02118_normal.JPG</v>
      </c>
      <c r="AW34" s="81" t="s">
        <v>970</v>
      </c>
      <c r="AX34" s="81" t="s">
        <v>970</v>
      </c>
      <c r="AY34" s="77"/>
      <c r="AZ34" s="81" t="s">
        <v>1210</v>
      </c>
      <c r="BA34" s="81" t="s">
        <v>1210</v>
      </c>
      <c r="BB34" s="81" t="s">
        <v>1210</v>
      </c>
      <c r="BC34" s="81" t="s">
        <v>970</v>
      </c>
      <c r="BD34" s="77">
        <v>63202181</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v>0</v>
      </c>
      <c r="BN34" s="46">
        <v>0</v>
      </c>
      <c r="BO34" s="45">
        <v>1</v>
      </c>
      <c r="BP34" s="46">
        <v>4.3478260869565215</v>
      </c>
      <c r="BQ34" s="45">
        <v>0</v>
      </c>
      <c r="BR34" s="46">
        <v>0</v>
      </c>
      <c r="BS34" s="45">
        <v>17</v>
      </c>
      <c r="BT34" s="46">
        <v>73.91304347826087</v>
      </c>
      <c r="BU34" s="45">
        <v>23</v>
      </c>
    </row>
    <row r="35" spans="1:73" ht="15">
      <c r="A35" s="61" t="s">
        <v>250</v>
      </c>
      <c r="B35" s="61" t="s">
        <v>365</v>
      </c>
      <c r="C35" s="62"/>
      <c r="D35" s="63"/>
      <c r="E35" s="64"/>
      <c r="F35" s="65"/>
      <c r="G35" s="62"/>
      <c r="H35" s="66"/>
      <c r="I35" s="67"/>
      <c r="J35" s="67"/>
      <c r="K35" s="31" t="s">
        <v>65</v>
      </c>
      <c r="L35" s="75">
        <v>51</v>
      </c>
      <c r="M35" s="75"/>
      <c r="N35" s="69"/>
      <c r="O35" s="77" t="s">
        <v>437</v>
      </c>
      <c r="P35" s="79">
        <v>45193.9922337963</v>
      </c>
      <c r="Q35" s="77" t="s">
        <v>473</v>
      </c>
      <c r="R35" s="77">
        <v>0</v>
      </c>
      <c r="S35" s="77">
        <v>1</v>
      </c>
      <c r="T35" s="77">
        <v>0</v>
      </c>
      <c r="U35" s="77">
        <v>0</v>
      </c>
      <c r="V35" s="77">
        <v>85</v>
      </c>
      <c r="W35" s="77"/>
      <c r="X35" s="77"/>
      <c r="Y35" s="77"/>
      <c r="Z35" s="77" t="s">
        <v>628</v>
      </c>
      <c r="AA35" s="77"/>
      <c r="AB35" s="77"/>
      <c r="AC35" s="81" t="s">
        <v>674</v>
      </c>
      <c r="AD35" s="77" t="s">
        <v>686</v>
      </c>
      <c r="AE35" s="83" t="str">
        <f>HYPERLINK("https://twitter.com/ritchieontrack/status/1706093361046979004")</f>
        <v>https://twitter.com/ritchieontrack/status/1706093361046979004</v>
      </c>
      <c r="AF35" s="79">
        <v>45193.9922337963</v>
      </c>
      <c r="AG35" s="85">
        <v>45193</v>
      </c>
      <c r="AH35" s="81" t="s">
        <v>718</v>
      </c>
      <c r="AI35" s="77"/>
      <c r="AJ35" s="77" t="s">
        <v>834</v>
      </c>
      <c r="AK35" s="77" t="s">
        <v>849</v>
      </c>
      <c r="AL35" s="77" t="s">
        <v>850</v>
      </c>
      <c r="AM35" s="77" t="s">
        <v>858</v>
      </c>
      <c r="AN35" s="77" t="s">
        <v>880</v>
      </c>
      <c r="AO35" s="77" t="s">
        <v>902</v>
      </c>
      <c r="AP35" s="77" t="s">
        <v>917</v>
      </c>
      <c r="AQ35" s="77"/>
      <c r="AR35" s="77"/>
      <c r="AS35" s="77"/>
      <c r="AT35" s="77"/>
      <c r="AU35" s="77"/>
      <c r="AV35" s="83" t="str">
        <f>HYPERLINK("https://pbs.twimg.com/profile_images/1456067272/SFC_run__3_normal.jpg")</f>
        <v>https://pbs.twimg.com/profile_images/1456067272/SFC_run__3_normal.jpg</v>
      </c>
      <c r="AW35" s="81" t="s">
        <v>971</v>
      </c>
      <c r="AX35" s="81" t="s">
        <v>1096</v>
      </c>
      <c r="AY35" s="81" t="s">
        <v>1161</v>
      </c>
      <c r="AZ35" s="81" t="s">
        <v>1216</v>
      </c>
      <c r="BA35" s="81" t="s">
        <v>1210</v>
      </c>
      <c r="BB35" s="81" t="s">
        <v>1210</v>
      </c>
      <c r="BC35" s="81" t="s">
        <v>1216</v>
      </c>
      <c r="BD35" s="77">
        <v>121871722</v>
      </c>
      <c r="BE35" s="77"/>
      <c r="BF35" s="77"/>
      <c r="BG35" s="77"/>
      <c r="BH35" s="77"/>
      <c r="BI35" s="77"/>
      <c r="BJ35">
        <v>1</v>
      </c>
      <c r="BK35" s="76" t="str">
        <f>REPLACE(INDEX(GroupVertices[Group],MATCH("~"&amp;Edges27[[#This Row],[Vertex 1]],GroupVertices[Vertex],0)),1,1,"")</f>
        <v>20</v>
      </c>
      <c r="BL35" s="76" t="str">
        <f>REPLACE(INDEX(GroupVertices[Group],MATCH("~"&amp;Edges27[[#This Row],[Vertex 2]],GroupVertices[Vertex],0)),1,1,"")</f>
        <v>20</v>
      </c>
      <c r="BM35" s="45"/>
      <c r="BN35" s="46"/>
      <c r="BO35" s="45"/>
      <c r="BP35" s="46"/>
      <c r="BQ35" s="45"/>
      <c r="BR35" s="46"/>
      <c r="BS35" s="45"/>
      <c r="BT35" s="46"/>
      <c r="BU35" s="45"/>
    </row>
    <row r="36" spans="1:73" ht="15">
      <c r="A36" s="61" t="s">
        <v>251</v>
      </c>
      <c r="B36" s="61" t="s">
        <v>367</v>
      </c>
      <c r="C36" s="62"/>
      <c r="D36" s="63"/>
      <c r="E36" s="64"/>
      <c r="F36" s="65"/>
      <c r="G36" s="62"/>
      <c r="H36" s="66"/>
      <c r="I36" s="67"/>
      <c r="J36" s="67"/>
      <c r="K36" s="31" t="s">
        <v>65</v>
      </c>
      <c r="L36" s="75">
        <v>53</v>
      </c>
      <c r="M36" s="75"/>
      <c r="N36" s="69"/>
      <c r="O36" s="77" t="s">
        <v>437</v>
      </c>
      <c r="P36" s="79">
        <v>45316.623923611114</v>
      </c>
      <c r="Q36" s="77" t="s">
        <v>474</v>
      </c>
      <c r="R36" s="77">
        <v>0</v>
      </c>
      <c r="S36" s="77">
        <v>3</v>
      </c>
      <c r="T36" s="77">
        <v>0</v>
      </c>
      <c r="U36" s="77">
        <v>0</v>
      </c>
      <c r="V36" s="77">
        <v>29</v>
      </c>
      <c r="W36" s="77"/>
      <c r="X36" s="77"/>
      <c r="Y36" s="77"/>
      <c r="Z36" s="77" t="s">
        <v>629</v>
      </c>
      <c r="AA36" s="77"/>
      <c r="AB36" s="77"/>
      <c r="AC36" s="81" t="s">
        <v>674</v>
      </c>
      <c r="AD36" s="77" t="s">
        <v>686</v>
      </c>
      <c r="AE36" s="83" t="str">
        <f>HYPERLINK("https://twitter.com/seenadsgo/status/1750533595117359173")</f>
        <v>https://twitter.com/seenadsgo/status/1750533595117359173</v>
      </c>
      <c r="AF36" s="79">
        <v>45316.623923611114</v>
      </c>
      <c r="AG36" s="85">
        <v>45316</v>
      </c>
      <c r="AH36" s="81" t="s">
        <v>719</v>
      </c>
      <c r="AI36" s="77"/>
      <c r="AJ36" s="77"/>
      <c r="AK36" s="77"/>
      <c r="AL36" s="77"/>
      <c r="AM36" s="77"/>
      <c r="AN36" s="77"/>
      <c r="AO36" s="77"/>
      <c r="AP36" s="77"/>
      <c r="AQ36" s="77"/>
      <c r="AR36" s="77"/>
      <c r="AS36" s="77"/>
      <c r="AT36" s="77"/>
      <c r="AU36" s="77"/>
      <c r="AV36" s="83" t="str">
        <f>HYPERLINK("https://pbs.twimg.com/profile_images/3496131857/27b7dd6426f485f12e1ade72c3a257b7_normal.jpeg")</f>
        <v>https://pbs.twimg.com/profile_images/3496131857/27b7dd6426f485f12e1ade72c3a257b7_normal.jpeg</v>
      </c>
      <c r="AW36" s="81" t="s">
        <v>972</v>
      </c>
      <c r="AX36" s="81" t="s">
        <v>1097</v>
      </c>
      <c r="AY36" s="81" t="s">
        <v>1162</v>
      </c>
      <c r="AZ36" s="81" t="s">
        <v>1217</v>
      </c>
      <c r="BA36" s="81" t="s">
        <v>1210</v>
      </c>
      <c r="BB36" s="81" t="s">
        <v>1210</v>
      </c>
      <c r="BC36" s="81" t="s">
        <v>1217</v>
      </c>
      <c r="BD36" s="77">
        <v>931345868</v>
      </c>
      <c r="BE36" s="77"/>
      <c r="BF36" s="77"/>
      <c r="BG36" s="77"/>
      <c r="BH36" s="77"/>
      <c r="BI36" s="77"/>
      <c r="BJ36">
        <v>1</v>
      </c>
      <c r="BK36" s="76" t="str">
        <f>REPLACE(INDEX(GroupVertices[Group],MATCH("~"&amp;Edges27[[#This Row],[Vertex 1]],GroupVertices[Vertex],0)),1,1,"")</f>
        <v>19</v>
      </c>
      <c r="BL36" s="76" t="str">
        <f>REPLACE(INDEX(GroupVertices[Group],MATCH("~"&amp;Edges27[[#This Row],[Vertex 2]],GroupVertices[Vertex],0)),1,1,"")</f>
        <v>19</v>
      </c>
      <c r="BM36" s="45"/>
      <c r="BN36" s="46"/>
      <c r="BO36" s="45"/>
      <c r="BP36" s="46"/>
      <c r="BQ36" s="45"/>
      <c r="BR36" s="46"/>
      <c r="BS36" s="45"/>
      <c r="BT36" s="46"/>
      <c r="BU36" s="45"/>
    </row>
    <row r="37" spans="1:73" ht="15">
      <c r="A37" s="61" t="s">
        <v>252</v>
      </c>
      <c r="B37" s="61" t="s">
        <v>369</v>
      </c>
      <c r="C37" s="62"/>
      <c r="D37" s="63"/>
      <c r="E37" s="64"/>
      <c r="F37" s="65"/>
      <c r="G37" s="62"/>
      <c r="H37" s="66"/>
      <c r="I37" s="67"/>
      <c r="J37" s="67"/>
      <c r="K37" s="31" t="s">
        <v>65</v>
      </c>
      <c r="L37" s="75">
        <v>55</v>
      </c>
      <c r="M37" s="75"/>
      <c r="N37" s="69"/>
      <c r="O37" s="77" t="s">
        <v>438</v>
      </c>
      <c r="P37" s="79">
        <v>44993.01464120371</v>
      </c>
      <c r="Q37" s="77" t="s">
        <v>475</v>
      </c>
      <c r="R37" s="77">
        <v>0</v>
      </c>
      <c r="S37" s="77">
        <v>6</v>
      </c>
      <c r="T37" s="77">
        <v>0</v>
      </c>
      <c r="U37" s="77">
        <v>0</v>
      </c>
      <c r="V37" s="77">
        <v>226</v>
      </c>
      <c r="W37" s="77"/>
      <c r="X37" s="77"/>
      <c r="Y37" s="77"/>
      <c r="Z37" s="77" t="s">
        <v>369</v>
      </c>
      <c r="AA37" s="77"/>
      <c r="AB37" s="77"/>
      <c r="AC37" s="81" t="s">
        <v>677</v>
      </c>
      <c r="AD37" s="77" t="s">
        <v>686</v>
      </c>
      <c r="AE37" s="83" t="str">
        <f>HYPERLINK("https://twitter.com/zerocharisma/status/1633261521764749312")</f>
        <v>https://twitter.com/zerocharisma/status/1633261521764749312</v>
      </c>
      <c r="AF37" s="79">
        <v>44993.01464120371</v>
      </c>
      <c r="AG37" s="85">
        <v>44993</v>
      </c>
      <c r="AH37" s="81" t="s">
        <v>720</v>
      </c>
      <c r="AI37" s="77"/>
      <c r="AJ37" s="77" t="s">
        <v>830</v>
      </c>
      <c r="AK37" s="77" t="s">
        <v>849</v>
      </c>
      <c r="AL37" s="77" t="s">
        <v>850</v>
      </c>
      <c r="AM37" s="77" t="s">
        <v>854</v>
      </c>
      <c r="AN37" s="77" t="s">
        <v>876</v>
      </c>
      <c r="AO37" s="77" t="s">
        <v>898</v>
      </c>
      <c r="AP37" s="77" t="s">
        <v>917</v>
      </c>
      <c r="AQ37" s="77"/>
      <c r="AR37" s="77"/>
      <c r="AS37" s="77"/>
      <c r="AT37" s="77"/>
      <c r="AU37" s="77"/>
      <c r="AV37" s="83" t="str">
        <f>HYPERLINK("https://pbs.twimg.com/profile_images/1066205184815095809/thq4StbC_normal.jpg")</f>
        <v>https://pbs.twimg.com/profile_images/1066205184815095809/thq4StbC_normal.jpg</v>
      </c>
      <c r="AW37" s="81" t="s">
        <v>973</v>
      </c>
      <c r="AX37" s="81" t="s">
        <v>1098</v>
      </c>
      <c r="AY37" s="81" t="s">
        <v>1163</v>
      </c>
      <c r="AZ37" s="81" t="s">
        <v>1098</v>
      </c>
      <c r="BA37" s="81" t="s">
        <v>1210</v>
      </c>
      <c r="BB37" s="81" t="s">
        <v>1210</v>
      </c>
      <c r="BC37" s="81" t="s">
        <v>1098</v>
      </c>
      <c r="BD37" s="77">
        <v>7943142</v>
      </c>
      <c r="BE37" s="77"/>
      <c r="BF37" s="77"/>
      <c r="BG37" s="77"/>
      <c r="BH37" s="77"/>
      <c r="BI37" s="77"/>
      <c r="BJ37">
        <v>1</v>
      </c>
      <c r="BK37" s="76" t="str">
        <f>REPLACE(INDEX(GroupVertices[Group],MATCH("~"&amp;Edges27[[#This Row],[Vertex 1]],GroupVertices[Vertex],0)),1,1,"")</f>
        <v>57</v>
      </c>
      <c r="BL37" s="76" t="str">
        <f>REPLACE(INDEX(GroupVertices[Group],MATCH("~"&amp;Edges27[[#This Row],[Vertex 2]],GroupVertices[Vertex],0)),1,1,"")</f>
        <v>57</v>
      </c>
      <c r="BM37" s="45">
        <v>1</v>
      </c>
      <c r="BN37" s="46">
        <v>5.555555555555555</v>
      </c>
      <c r="BO37" s="45">
        <v>1</v>
      </c>
      <c r="BP37" s="46">
        <v>5.555555555555555</v>
      </c>
      <c r="BQ37" s="45">
        <v>0</v>
      </c>
      <c r="BR37" s="46">
        <v>0</v>
      </c>
      <c r="BS37" s="45">
        <v>8</v>
      </c>
      <c r="BT37" s="46">
        <v>44.44444444444444</v>
      </c>
      <c r="BU37" s="45">
        <v>18</v>
      </c>
    </row>
    <row r="38" spans="1:73" ht="15">
      <c r="A38" s="61" t="s">
        <v>253</v>
      </c>
      <c r="B38" s="61" t="s">
        <v>253</v>
      </c>
      <c r="C38" s="62"/>
      <c r="D38" s="63"/>
      <c r="E38" s="64"/>
      <c r="F38" s="65"/>
      <c r="G38" s="62"/>
      <c r="H38" s="66"/>
      <c r="I38" s="67"/>
      <c r="J38" s="67"/>
      <c r="K38" s="31" t="s">
        <v>65</v>
      </c>
      <c r="L38" s="75">
        <v>56</v>
      </c>
      <c r="M38" s="75"/>
      <c r="N38" s="69"/>
      <c r="O38" s="77" t="s">
        <v>178</v>
      </c>
      <c r="P38" s="79">
        <v>45319.85113425926</v>
      </c>
      <c r="Q38" s="77" t="s">
        <v>476</v>
      </c>
      <c r="R38" s="77">
        <v>0</v>
      </c>
      <c r="S38" s="77">
        <v>2</v>
      </c>
      <c r="T38" s="77">
        <v>0</v>
      </c>
      <c r="U38" s="77">
        <v>0</v>
      </c>
      <c r="V38" s="77">
        <v>54</v>
      </c>
      <c r="W38" s="77"/>
      <c r="X38" s="77"/>
      <c r="Y38" s="77"/>
      <c r="Z38" s="77"/>
      <c r="AA38" s="77" t="s">
        <v>652</v>
      </c>
      <c r="AB38" s="77" t="s">
        <v>671</v>
      </c>
      <c r="AC38" s="81" t="s">
        <v>678</v>
      </c>
      <c r="AD38" s="77" t="s">
        <v>686</v>
      </c>
      <c r="AE38" s="83" t="str">
        <f>HYPERLINK("https://twitter.com/minitruearchive/status/1751703097620205710")</f>
        <v>https://twitter.com/minitruearchive/status/1751703097620205710</v>
      </c>
      <c r="AF38" s="79">
        <v>45319.85113425926</v>
      </c>
      <c r="AG38" s="85">
        <v>45319</v>
      </c>
      <c r="AH38" s="81" t="s">
        <v>721</v>
      </c>
      <c r="AI38" s="77" t="b">
        <v>0</v>
      </c>
      <c r="AJ38" s="77"/>
      <c r="AK38" s="77"/>
      <c r="AL38" s="77"/>
      <c r="AM38" s="77"/>
      <c r="AN38" s="77"/>
      <c r="AO38" s="77"/>
      <c r="AP38" s="77"/>
      <c r="AQ38" s="77" t="s">
        <v>923</v>
      </c>
      <c r="AR38" s="77"/>
      <c r="AS38" s="77"/>
      <c r="AT38" s="77"/>
      <c r="AU38" s="77"/>
      <c r="AV38" s="83" t="str">
        <f>HYPERLINK("https://pbs.twimg.com/media/GE9MrrLbIAAQCQ6.jpg")</f>
        <v>https://pbs.twimg.com/media/GE9MrrLbIAAQCQ6.jpg</v>
      </c>
      <c r="AW38" s="81" t="s">
        <v>974</v>
      </c>
      <c r="AX38" s="81" t="s">
        <v>974</v>
      </c>
      <c r="AY38" s="77"/>
      <c r="AZ38" s="81" t="s">
        <v>1210</v>
      </c>
      <c r="BA38" s="81" t="s">
        <v>1210</v>
      </c>
      <c r="BB38" s="81" t="s">
        <v>1210</v>
      </c>
      <c r="BC38" s="81" t="s">
        <v>974</v>
      </c>
      <c r="BD38" s="81" t="s">
        <v>1248</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v>0</v>
      </c>
      <c r="BN38" s="46">
        <v>0</v>
      </c>
      <c r="BO38" s="45">
        <v>4</v>
      </c>
      <c r="BP38" s="46">
        <v>22.22222222222222</v>
      </c>
      <c r="BQ38" s="45">
        <v>0</v>
      </c>
      <c r="BR38" s="46">
        <v>0</v>
      </c>
      <c r="BS38" s="45">
        <v>10</v>
      </c>
      <c r="BT38" s="46">
        <v>55.55555555555556</v>
      </c>
      <c r="BU38" s="45">
        <v>18</v>
      </c>
    </row>
    <row r="39" spans="1:73" ht="15">
      <c r="A39" s="61" t="s">
        <v>254</v>
      </c>
      <c r="B39" s="61" t="s">
        <v>370</v>
      </c>
      <c r="C39" s="62"/>
      <c r="D39" s="63"/>
      <c r="E39" s="64"/>
      <c r="F39" s="65"/>
      <c r="G39" s="62"/>
      <c r="H39" s="66"/>
      <c r="I39" s="67"/>
      <c r="J39" s="67"/>
      <c r="K39" s="31" t="s">
        <v>65</v>
      </c>
      <c r="L39" s="75">
        <v>57</v>
      </c>
      <c r="M39" s="75"/>
      <c r="N39" s="69"/>
      <c r="O39" s="77" t="s">
        <v>437</v>
      </c>
      <c r="P39" s="79">
        <v>45316.17548611111</v>
      </c>
      <c r="Q39" s="77" t="s">
        <v>477</v>
      </c>
      <c r="R39" s="77">
        <v>0</v>
      </c>
      <c r="S39" s="77">
        <v>3</v>
      </c>
      <c r="T39" s="77">
        <v>1</v>
      </c>
      <c r="U39" s="77">
        <v>0</v>
      </c>
      <c r="V39" s="77">
        <v>136</v>
      </c>
      <c r="W39" s="77"/>
      <c r="X39" s="77"/>
      <c r="Y39" s="77"/>
      <c r="Z39" s="77" t="s">
        <v>630</v>
      </c>
      <c r="AA39" s="77"/>
      <c r="AB39" s="77"/>
      <c r="AC39" s="81" t="s">
        <v>674</v>
      </c>
      <c r="AD39" s="77" t="s">
        <v>686</v>
      </c>
      <c r="AE39" s="83" t="str">
        <f>HYPERLINK("https://twitter.com/on_bicycle/status/1750371089581264995")</f>
        <v>https://twitter.com/on_bicycle/status/1750371089581264995</v>
      </c>
      <c r="AF39" s="79">
        <v>45316.17548611111</v>
      </c>
      <c r="AG39" s="85">
        <v>45316</v>
      </c>
      <c r="AH39" s="81" t="s">
        <v>722</v>
      </c>
      <c r="AI39" s="77"/>
      <c r="AJ39" s="77" t="s">
        <v>828</v>
      </c>
      <c r="AK39" s="77" t="s">
        <v>849</v>
      </c>
      <c r="AL39" s="77" t="s">
        <v>850</v>
      </c>
      <c r="AM39" s="77" t="s">
        <v>852</v>
      </c>
      <c r="AN39" s="77" t="s">
        <v>874</v>
      </c>
      <c r="AO39" s="77" t="s">
        <v>896</v>
      </c>
      <c r="AP39" s="77" t="s">
        <v>917</v>
      </c>
      <c r="AQ39" s="77"/>
      <c r="AR39" s="77"/>
      <c r="AS39" s="77"/>
      <c r="AT39" s="77"/>
      <c r="AU39" s="77"/>
      <c r="AV39" s="83" t="str">
        <f>HYPERLINK("https://pbs.twimg.com/profile_images/1179538510945980416/vHHbVeXI_normal.jpg")</f>
        <v>https://pbs.twimg.com/profile_images/1179538510945980416/vHHbVeXI_normal.jpg</v>
      </c>
      <c r="AW39" s="81" t="s">
        <v>975</v>
      </c>
      <c r="AX39" s="81" t="s">
        <v>1099</v>
      </c>
      <c r="AY39" s="81" t="s">
        <v>1164</v>
      </c>
      <c r="AZ39" s="81" t="s">
        <v>1218</v>
      </c>
      <c r="BA39" s="81" t="s">
        <v>1210</v>
      </c>
      <c r="BB39" s="81" t="s">
        <v>1210</v>
      </c>
      <c r="BC39" s="81" t="s">
        <v>1218</v>
      </c>
      <c r="BD39" s="81" t="s">
        <v>1249</v>
      </c>
      <c r="BE39" s="77"/>
      <c r="BF39" s="77"/>
      <c r="BG39" s="77"/>
      <c r="BH39" s="77"/>
      <c r="BI39" s="77"/>
      <c r="BJ39">
        <v>1</v>
      </c>
      <c r="BK39" s="76" t="str">
        <f>REPLACE(INDEX(GroupVertices[Group],MATCH("~"&amp;Edges27[[#This Row],[Vertex 1]],GroupVertices[Vertex],0)),1,1,"")</f>
        <v>18</v>
      </c>
      <c r="BL39" s="76" t="str">
        <f>REPLACE(INDEX(GroupVertices[Group],MATCH("~"&amp;Edges27[[#This Row],[Vertex 2]],GroupVertices[Vertex],0)),1,1,"")</f>
        <v>18</v>
      </c>
      <c r="BM39" s="45"/>
      <c r="BN39" s="46"/>
      <c r="BO39" s="45"/>
      <c r="BP39" s="46"/>
      <c r="BQ39" s="45"/>
      <c r="BR39" s="46"/>
      <c r="BS39" s="45"/>
      <c r="BT39" s="46"/>
      <c r="BU39" s="45"/>
    </row>
    <row r="40" spans="1:73" ht="15">
      <c r="A40" s="61" t="s">
        <v>255</v>
      </c>
      <c r="B40" s="61" t="s">
        <v>255</v>
      </c>
      <c r="C40" s="62"/>
      <c r="D40" s="63"/>
      <c r="E40" s="64"/>
      <c r="F40" s="65"/>
      <c r="G40" s="62"/>
      <c r="H40" s="66"/>
      <c r="I40" s="67"/>
      <c r="J40" s="67"/>
      <c r="K40" s="31" t="s">
        <v>65</v>
      </c>
      <c r="L40" s="75">
        <v>59</v>
      </c>
      <c r="M40" s="75"/>
      <c r="N40" s="69"/>
      <c r="O40" s="77" t="s">
        <v>178</v>
      </c>
      <c r="P40" s="79">
        <v>45318.28655092593</v>
      </c>
      <c r="Q40" s="77" t="s">
        <v>478</v>
      </c>
      <c r="R40" s="77">
        <v>0</v>
      </c>
      <c r="S40" s="77">
        <v>0</v>
      </c>
      <c r="T40" s="77">
        <v>0</v>
      </c>
      <c r="U40" s="77">
        <v>0</v>
      </c>
      <c r="V40" s="77">
        <v>8</v>
      </c>
      <c r="W40" s="77"/>
      <c r="X40" s="77"/>
      <c r="Y40" s="77"/>
      <c r="Z40" s="77"/>
      <c r="AA40" s="77"/>
      <c r="AB40" s="77"/>
      <c r="AC40" s="81" t="s">
        <v>675</v>
      </c>
      <c r="AD40" s="77" t="s">
        <v>686</v>
      </c>
      <c r="AE40" s="83" t="str">
        <f>HYPERLINK("https://twitter.com/kythrawowalls/status/1751136110875730312")</f>
        <v>https://twitter.com/kythrawowalls/status/1751136110875730312</v>
      </c>
      <c r="AF40" s="79">
        <v>45318.28655092593</v>
      </c>
      <c r="AG40" s="85">
        <v>45318</v>
      </c>
      <c r="AH40" s="81" t="s">
        <v>723</v>
      </c>
      <c r="AI40" s="77"/>
      <c r="AJ40" s="77"/>
      <c r="AK40" s="77"/>
      <c r="AL40" s="77"/>
      <c r="AM40" s="77"/>
      <c r="AN40" s="77"/>
      <c r="AO40" s="77"/>
      <c r="AP40" s="77"/>
      <c r="AQ40" s="77"/>
      <c r="AR40" s="77"/>
      <c r="AS40" s="77"/>
      <c r="AT40" s="77"/>
      <c r="AU40" s="77"/>
      <c r="AV40" s="83" t="str">
        <f>HYPERLINK("https://pbs.twimg.com/profile_images/1692369379374026752/d3z8o_79_normal.jpg")</f>
        <v>https://pbs.twimg.com/profile_images/1692369379374026752/d3z8o_79_normal.jpg</v>
      </c>
      <c r="AW40" s="81" t="s">
        <v>976</v>
      </c>
      <c r="AX40" s="81" t="s">
        <v>976</v>
      </c>
      <c r="AY40" s="77"/>
      <c r="AZ40" s="81" t="s">
        <v>1210</v>
      </c>
      <c r="BA40" s="81" t="s">
        <v>1210</v>
      </c>
      <c r="BB40" s="81" t="s">
        <v>1210</v>
      </c>
      <c r="BC40" s="81" t="s">
        <v>976</v>
      </c>
      <c r="BD40" s="81" t="s">
        <v>1250</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v>1</v>
      </c>
      <c r="BN40" s="46">
        <v>1.9607843137254901</v>
      </c>
      <c r="BO40" s="45">
        <v>3</v>
      </c>
      <c r="BP40" s="46">
        <v>5.882352941176471</v>
      </c>
      <c r="BQ40" s="45">
        <v>0</v>
      </c>
      <c r="BR40" s="46">
        <v>0</v>
      </c>
      <c r="BS40" s="45">
        <v>20</v>
      </c>
      <c r="BT40" s="46">
        <v>39.21568627450981</v>
      </c>
      <c r="BU40" s="45">
        <v>51</v>
      </c>
    </row>
    <row r="41" spans="1:73" ht="15">
      <c r="A41" s="61" t="s">
        <v>256</v>
      </c>
      <c r="B41" s="61" t="s">
        <v>256</v>
      </c>
      <c r="C41" s="62"/>
      <c r="D41" s="63"/>
      <c r="E41" s="64"/>
      <c r="F41" s="65"/>
      <c r="G41" s="62"/>
      <c r="H41" s="66"/>
      <c r="I41" s="67"/>
      <c r="J41" s="67"/>
      <c r="K41" s="31" t="s">
        <v>65</v>
      </c>
      <c r="L41" s="75">
        <v>60</v>
      </c>
      <c r="M41" s="75"/>
      <c r="N41" s="69"/>
      <c r="O41" s="77" t="s">
        <v>178</v>
      </c>
      <c r="P41" s="79">
        <v>45209.78556712963</v>
      </c>
      <c r="Q41" s="77" t="s">
        <v>479</v>
      </c>
      <c r="R41" s="77">
        <v>0</v>
      </c>
      <c r="S41" s="77">
        <v>0</v>
      </c>
      <c r="T41" s="77">
        <v>0</v>
      </c>
      <c r="U41" s="77">
        <v>0</v>
      </c>
      <c r="V41" s="77">
        <v>41</v>
      </c>
      <c r="W41" s="77"/>
      <c r="X41" s="77"/>
      <c r="Y41" s="77"/>
      <c r="Z41" s="77"/>
      <c r="AA41" s="77"/>
      <c r="AB41" s="77"/>
      <c r="AC41" s="81" t="s">
        <v>677</v>
      </c>
      <c r="AD41" s="77" t="s">
        <v>686</v>
      </c>
      <c r="AE41" s="83" t="str">
        <f>HYPERLINK("https://twitter.com/davidtaple90421/status/1711816674671034456")</f>
        <v>https://twitter.com/davidtaple90421/status/1711816674671034456</v>
      </c>
      <c r="AF41" s="79">
        <v>45209.78556712963</v>
      </c>
      <c r="AG41" s="85">
        <v>45209</v>
      </c>
      <c r="AH41" s="81" t="s">
        <v>724</v>
      </c>
      <c r="AI41" s="77"/>
      <c r="AJ41" s="77" t="s">
        <v>835</v>
      </c>
      <c r="AK41" s="77" t="s">
        <v>849</v>
      </c>
      <c r="AL41" s="77" t="s">
        <v>850</v>
      </c>
      <c r="AM41" s="77" t="s">
        <v>859</v>
      </c>
      <c r="AN41" s="77" t="s">
        <v>881</v>
      </c>
      <c r="AO41" s="77" t="s">
        <v>903</v>
      </c>
      <c r="AP41" s="77" t="s">
        <v>917</v>
      </c>
      <c r="AQ41" s="77"/>
      <c r="AR41" s="77"/>
      <c r="AS41" s="77"/>
      <c r="AT41" s="77"/>
      <c r="AU41" s="77"/>
      <c r="AV41" s="83" t="str">
        <f>HYPERLINK("https://pbs.twimg.com/profile_images/1698486847683350528/kTCyEJls_normal.jpg")</f>
        <v>https://pbs.twimg.com/profile_images/1698486847683350528/kTCyEJls_normal.jpg</v>
      </c>
      <c r="AW41" s="81" t="s">
        <v>977</v>
      </c>
      <c r="AX41" s="81" t="s">
        <v>977</v>
      </c>
      <c r="AY41" s="77"/>
      <c r="AZ41" s="81" t="s">
        <v>1210</v>
      </c>
      <c r="BA41" s="81" t="s">
        <v>1210</v>
      </c>
      <c r="BB41" s="81" t="s">
        <v>1210</v>
      </c>
      <c r="BC41" s="81" t="s">
        <v>977</v>
      </c>
      <c r="BD41" s="81" t="s">
        <v>1251</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2</v>
      </c>
      <c r="BN41" s="46">
        <v>8.695652173913043</v>
      </c>
      <c r="BO41" s="45">
        <v>5</v>
      </c>
      <c r="BP41" s="46">
        <v>21.73913043478261</v>
      </c>
      <c r="BQ41" s="45">
        <v>0</v>
      </c>
      <c r="BR41" s="46">
        <v>0</v>
      </c>
      <c r="BS41" s="45">
        <v>6</v>
      </c>
      <c r="BT41" s="46">
        <v>26.08695652173913</v>
      </c>
      <c r="BU41" s="45">
        <v>23</v>
      </c>
    </row>
    <row r="42" spans="1:73" ht="15">
      <c r="A42" s="61" t="s">
        <v>257</v>
      </c>
      <c r="B42" s="61" t="s">
        <v>372</v>
      </c>
      <c r="C42" s="62"/>
      <c r="D42" s="63"/>
      <c r="E42" s="64"/>
      <c r="F42" s="65"/>
      <c r="G42" s="62"/>
      <c r="H42" s="66"/>
      <c r="I42" s="67"/>
      <c r="J42" s="67"/>
      <c r="K42" s="31" t="s">
        <v>65</v>
      </c>
      <c r="L42" s="75">
        <v>61</v>
      </c>
      <c r="M42" s="75"/>
      <c r="N42" s="69"/>
      <c r="O42" s="77" t="s">
        <v>437</v>
      </c>
      <c r="P42" s="79">
        <v>45111.865949074076</v>
      </c>
      <c r="Q42" s="77" t="s">
        <v>480</v>
      </c>
      <c r="R42" s="77">
        <v>0</v>
      </c>
      <c r="S42" s="77">
        <v>2</v>
      </c>
      <c r="T42" s="77">
        <v>1</v>
      </c>
      <c r="U42" s="77">
        <v>0</v>
      </c>
      <c r="V42" s="77">
        <v>101</v>
      </c>
      <c r="W42" s="77"/>
      <c r="X42" s="77"/>
      <c r="Y42" s="77"/>
      <c r="Z42" s="77" t="s">
        <v>631</v>
      </c>
      <c r="AA42" s="77"/>
      <c r="AB42" s="77"/>
      <c r="AC42" s="81" t="s">
        <v>674</v>
      </c>
      <c r="AD42" s="77" t="s">
        <v>686</v>
      </c>
      <c r="AE42" s="83" t="str">
        <f>HYPERLINK("https://twitter.com/fairleyphoto/status/1676331792742383617")</f>
        <v>https://twitter.com/fairleyphoto/status/1676331792742383617</v>
      </c>
      <c r="AF42" s="79">
        <v>45111.865949074076</v>
      </c>
      <c r="AG42" s="85">
        <v>45111</v>
      </c>
      <c r="AH42" s="81" t="s">
        <v>725</v>
      </c>
      <c r="AI42" s="77"/>
      <c r="AJ42" s="77" t="s">
        <v>828</v>
      </c>
      <c r="AK42" s="77" t="s">
        <v>849</v>
      </c>
      <c r="AL42" s="77" t="s">
        <v>850</v>
      </c>
      <c r="AM42" s="77" t="s">
        <v>852</v>
      </c>
      <c r="AN42" s="77" t="s">
        <v>874</v>
      </c>
      <c r="AO42" s="77" t="s">
        <v>896</v>
      </c>
      <c r="AP42" s="77" t="s">
        <v>917</v>
      </c>
      <c r="AQ42" s="77"/>
      <c r="AR42" s="77"/>
      <c r="AS42" s="77"/>
      <c r="AT42" s="77"/>
      <c r="AU42" s="77"/>
      <c r="AV42" s="83" t="str">
        <f>HYPERLINK("https://pbs.twimg.com/profile_images/1234302995874992129/BEsGJNSf_normal.jpg")</f>
        <v>https://pbs.twimg.com/profile_images/1234302995874992129/BEsGJNSf_normal.jpg</v>
      </c>
      <c r="AW42" s="81" t="s">
        <v>978</v>
      </c>
      <c r="AX42" s="81" t="s">
        <v>1100</v>
      </c>
      <c r="AY42" s="81" t="s">
        <v>1165</v>
      </c>
      <c r="AZ42" s="81" t="s">
        <v>1219</v>
      </c>
      <c r="BA42" s="81" t="s">
        <v>1210</v>
      </c>
      <c r="BB42" s="81" t="s">
        <v>1210</v>
      </c>
      <c r="BC42" s="81" t="s">
        <v>1219</v>
      </c>
      <c r="BD42" s="81" t="s">
        <v>1252</v>
      </c>
      <c r="BE42" s="77"/>
      <c r="BF42" s="77"/>
      <c r="BG42" s="77"/>
      <c r="BH42" s="77"/>
      <c r="BI42" s="77"/>
      <c r="BJ42">
        <v>1</v>
      </c>
      <c r="BK42" s="76" t="str">
        <f>REPLACE(INDEX(GroupVertices[Group],MATCH("~"&amp;Edges27[[#This Row],[Vertex 1]],GroupVertices[Vertex],0)),1,1,"")</f>
        <v>9</v>
      </c>
      <c r="BL42" s="76" t="str">
        <f>REPLACE(INDEX(GroupVertices[Group],MATCH("~"&amp;Edges27[[#This Row],[Vertex 2]],GroupVertices[Vertex],0)),1,1,"")</f>
        <v>9</v>
      </c>
      <c r="BM42" s="45"/>
      <c r="BN42" s="46"/>
      <c r="BO42" s="45"/>
      <c r="BP42" s="46"/>
      <c r="BQ42" s="45"/>
      <c r="BR42" s="46"/>
      <c r="BS42" s="45"/>
      <c r="BT42" s="46"/>
      <c r="BU42" s="45"/>
    </row>
    <row r="43" spans="1:73" ht="15">
      <c r="A43" s="61" t="s">
        <v>258</v>
      </c>
      <c r="B43" s="61" t="s">
        <v>258</v>
      </c>
      <c r="C43" s="62"/>
      <c r="D43" s="63"/>
      <c r="E43" s="64"/>
      <c r="F43" s="65"/>
      <c r="G43" s="62"/>
      <c r="H43" s="66"/>
      <c r="I43" s="67"/>
      <c r="J43" s="67"/>
      <c r="K43" s="31" t="s">
        <v>65</v>
      </c>
      <c r="L43" s="75">
        <v>64</v>
      </c>
      <c r="M43" s="75"/>
      <c r="N43" s="69"/>
      <c r="O43" s="77" t="s">
        <v>178</v>
      </c>
      <c r="P43" s="79">
        <v>45251.953993055555</v>
      </c>
      <c r="Q43" s="77" t="s">
        <v>481</v>
      </c>
      <c r="R43" s="77">
        <v>0</v>
      </c>
      <c r="S43" s="77">
        <v>9</v>
      </c>
      <c r="T43" s="77">
        <v>2</v>
      </c>
      <c r="U43" s="77">
        <v>0</v>
      </c>
      <c r="V43" s="77">
        <v>2531</v>
      </c>
      <c r="W43" s="81" t="s">
        <v>586</v>
      </c>
      <c r="X43" s="83" t="str">
        <f>HYPERLINK("https://www.gcsaa.org/resources/regional-resources/northwest/northwest-blog/2023/11/21/creating-an-emotional-support-network")</f>
        <v>https://www.gcsaa.org/resources/regional-resources/northwest/northwest-blog/2023/11/21/creating-an-emotional-support-network</v>
      </c>
      <c r="Y43" s="77" t="s">
        <v>605</v>
      </c>
      <c r="Z43" s="77"/>
      <c r="AA43" s="77" t="s">
        <v>653</v>
      </c>
      <c r="AB43" s="77" t="s">
        <v>671</v>
      </c>
      <c r="AC43" s="81" t="s">
        <v>677</v>
      </c>
      <c r="AD43" s="77" t="s">
        <v>686</v>
      </c>
      <c r="AE43" s="83" t="str">
        <f>HYPERLINK("https://twitter.com/gcsaa_nw/status/1727097998881239378")</f>
        <v>https://twitter.com/gcsaa_nw/status/1727097998881239378</v>
      </c>
      <c r="AF43" s="79">
        <v>45251.953993055555</v>
      </c>
      <c r="AG43" s="85">
        <v>45251</v>
      </c>
      <c r="AH43" s="81" t="s">
        <v>726</v>
      </c>
      <c r="AI43" s="77" t="b">
        <v>0</v>
      </c>
      <c r="AJ43" s="77" t="s">
        <v>836</v>
      </c>
      <c r="AK43" s="77" t="s">
        <v>849</v>
      </c>
      <c r="AL43" s="77" t="s">
        <v>850</v>
      </c>
      <c r="AM43" s="77" t="s">
        <v>860</v>
      </c>
      <c r="AN43" s="77" t="s">
        <v>882</v>
      </c>
      <c r="AO43" s="77" t="s">
        <v>904</v>
      </c>
      <c r="AP43" s="77" t="s">
        <v>917</v>
      </c>
      <c r="AQ43" s="77" t="s">
        <v>924</v>
      </c>
      <c r="AR43" s="77"/>
      <c r="AS43" s="77"/>
      <c r="AT43" s="77"/>
      <c r="AU43" s="77"/>
      <c r="AV43" s="83" t="str">
        <f>HYPERLINK("https://pbs.twimg.com/media/F_fiekabYAAQv9j.jpg")</f>
        <v>https://pbs.twimg.com/media/F_fiekabYAAQv9j.jpg</v>
      </c>
      <c r="AW43" s="81" t="s">
        <v>979</v>
      </c>
      <c r="AX43" s="81" t="s">
        <v>979</v>
      </c>
      <c r="AY43" s="77"/>
      <c r="AZ43" s="81" t="s">
        <v>1210</v>
      </c>
      <c r="BA43" s="81" t="s">
        <v>1210</v>
      </c>
      <c r="BB43" s="81" t="s">
        <v>1210</v>
      </c>
      <c r="BC43" s="81" t="s">
        <v>979</v>
      </c>
      <c r="BD43" s="77">
        <v>513597380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v>1</v>
      </c>
      <c r="BN43" s="46">
        <v>4.3478260869565215</v>
      </c>
      <c r="BO43" s="45">
        <v>1</v>
      </c>
      <c r="BP43" s="46">
        <v>4.3478260869565215</v>
      </c>
      <c r="BQ43" s="45">
        <v>0</v>
      </c>
      <c r="BR43" s="46">
        <v>0</v>
      </c>
      <c r="BS43" s="45">
        <v>10</v>
      </c>
      <c r="BT43" s="46">
        <v>43.47826086956522</v>
      </c>
      <c r="BU43" s="45">
        <v>23</v>
      </c>
    </row>
    <row r="44" spans="1:73" ht="15">
      <c r="A44" s="61" t="s">
        <v>259</v>
      </c>
      <c r="B44" s="61" t="s">
        <v>268</v>
      </c>
      <c r="C44" s="62"/>
      <c r="D44" s="63"/>
      <c r="E44" s="64"/>
      <c r="F44" s="65"/>
      <c r="G44" s="62"/>
      <c r="H44" s="66"/>
      <c r="I44" s="67"/>
      <c r="J44" s="67"/>
      <c r="K44" s="31" t="s">
        <v>65</v>
      </c>
      <c r="L44" s="75">
        <v>65</v>
      </c>
      <c r="M44" s="75"/>
      <c r="N44" s="69"/>
      <c r="O44" s="77" t="s">
        <v>439</v>
      </c>
      <c r="P44" s="79">
        <v>45276.001226851855</v>
      </c>
      <c r="Q44" s="77" t="s">
        <v>482</v>
      </c>
      <c r="R44" s="77">
        <v>1</v>
      </c>
      <c r="S44" s="77">
        <v>22</v>
      </c>
      <c r="T44" s="77">
        <v>0</v>
      </c>
      <c r="U44" s="77">
        <v>0</v>
      </c>
      <c r="V44" s="77">
        <v>2127</v>
      </c>
      <c r="W44" s="77"/>
      <c r="X44" s="77"/>
      <c r="Y44" s="77"/>
      <c r="Z44" s="77"/>
      <c r="AA44" s="77"/>
      <c r="AB44" s="77"/>
      <c r="AC44" s="81" t="s">
        <v>674</v>
      </c>
      <c r="AD44" s="77" t="s">
        <v>686</v>
      </c>
      <c r="AE44" s="83" t="str">
        <f>HYPERLINK("https://twitter.com/coachbalto/status/1735812424413155787")</f>
        <v>https://twitter.com/coachbalto/status/1735812424413155787</v>
      </c>
      <c r="AF44" s="79">
        <v>45276.001226851855</v>
      </c>
      <c r="AG44" s="85">
        <v>45276</v>
      </c>
      <c r="AH44" s="81" t="s">
        <v>727</v>
      </c>
      <c r="AI44" s="77"/>
      <c r="AJ44" s="77" t="s">
        <v>828</v>
      </c>
      <c r="AK44" s="77" t="s">
        <v>849</v>
      </c>
      <c r="AL44" s="77" t="s">
        <v>850</v>
      </c>
      <c r="AM44" s="77" t="s">
        <v>852</v>
      </c>
      <c r="AN44" s="77" t="s">
        <v>874</v>
      </c>
      <c r="AO44" s="77" t="s">
        <v>896</v>
      </c>
      <c r="AP44" s="77" t="s">
        <v>917</v>
      </c>
      <c r="AQ44" s="77"/>
      <c r="AR44" s="77"/>
      <c r="AS44" s="77"/>
      <c r="AT44" s="77"/>
      <c r="AU44" s="77"/>
      <c r="AV44" s="83" t="str">
        <f>HYPERLINK("https://pbs.twimg.com/profile_images/1523016859498385408/NR9h054S_normal.jpg")</f>
        <v>https://pbs.twimg.com/profile_images/1523016859498385408/NR9h054S_normal.jpg</v>
      </c>
      <c r="AW44" s="81" t="s">
        <v>980</v>
      </c>
      <c r="AX44" s="81" t="s">
        <v>980</v>
      </c>
      <c r="AY44" s="77"/>
      <c r="AZ44" s="81" t="s">
        <v>1210</v>
      </c>
      <c r="BA44" s="81" t="s">
        <v>989</v>
      </c>
      <c r="BB44" s="81" t="s">
        <v>1210</v>
      </c>
      <c r="BC44" s="81" t="s">
        <v>989</v>
      </c>
      <c r="BD44" s="77">
        <v>2808136894</v>
      </c>
      <c r="BE44" s="77"/>
      <c r="BF44" s="77"/>
      <c r="BG44" s="77"/>
      <c r="BH44" s="77"/>
      <c r="BI44" s="77"/>
      <c r="BJ44">
        <v>1</v>
      </c>
      <c r="BK44" s="76" t="str">
        <f>REPLACE(INDEX(GroupVertices[Group],MATCH("~"&amp;Edges27[[#This Row],[Vertex 1]],GroupVertices[Vertex],0)),1,1,"")</f>
        <v>3</v>
      </c>
      <c r="BL44" s="76" t="str">
        <f>REPLACE(INDEX(GroupVertices[Group],MATCH("~"&amp;Edges27[[#This Row],[Vertex 2]],GroupVertices[Vertex],0)),1,1,"")</f>
        <v>3</v>
      </c>
      <c r="BM44" s="45">
        <v>1</v>
      </c>
      <c r="BN44" s="46">
        <v>3.3333333333333335</v>
      </c>
      <c r="BO44" s="45">
        <v>1</v>
      </c>
      <c r="BP44" s="46">
        <v>3.3333333333333335</v>
      </c>
      <c r="BQ44" s="45">
        <v>0</v>
      </c>
      <c r="BR44" s="46">
        <v>0</v>
      </c>
      <c r="BS44" s="45">
        <v>16</v>
      </c>
      <c r="BT44" s="46">
        <v>53.333333333333336</v>
      </c>
      <c r="BU44" s="45">
        <v>30</v>
      </c>
    </row>
    <row r="45" spans="1:73" ht="15">
      <c r="A45" s="61" t="s">
        <v>260</v>
      </c>
      <c r="B45" s="61" t="s">
        <v>260</v>
      </c>
      <c r="C45" s="62"/>
      <c r="D45" s="63"/>
      <c r="E45" s="64"/>
      <c r="F45" s="65"/>
      <c r="G45" s="62"/>
      <c r="H45" s="66"/>
      <c r="I45" s="67"/>
      <c r="J45" s="67"/>
      <c r="K45" s="31" t="s">
        <v>65</v>
      </c>
      <c r="L45" s="75">
        <v>66</v>
      </c>
      <c r="M45" s="75"/>
      <c r="N45" s="69"/>
      <c r="O45" s="77" t="s">
        <v>178</v>
      </c>
      <c r="P45" s="79">
        <v>44993.08865740741</v>
      </c>
      <c r="Q45" s="77" t="s">
        <v>483</v>
      </c>
      <c r="R45" s="77">
        <v>0</v>
      </c>
      <c r="S45" s="77">
        <v>2</v>
      </c>
      <c r="T45" s="77">
        <v>0</v>
      </c>
      <c r="U45" s="77">
        <v>0</v>
      </c>
      <c r="V45" s="77">
        <v>153</v>
      </c>
      <c r="W45" s="77"/>
      <c r="X45" s="77"/>
      <c r="Y45" s="77"/>
      <c r="Z45" s="77"/>
      <c r="AA45" s="77"/>
      <c r="AB45" s="77"/>
      <c r="AC45" s="81" t="s">
        <v>674</v>
      </c>
      <c r="AD45" s="77" t="s">
        <v>686</v>
      </c>
      <c r="AE45" s="83" t="str">
        <f>HYPERLINK("https://twitter.com/bucketyboo_96/status/1633288341922910208")</f>
        <v>https://twitter.com/bucketyboo_96/status/1633288341922910208</v>
      </c>
      <c r="AF45" s="79">
        <v>44993.08865740741</v>
      </c>
      <c r="AG45" s="85">
        <v>44993</v>
      </c>
      <c r="AH45" s="81" t="s">
        <v>728</v>
      </c>
      <c r="AI45" s="77"/>
      <c r="AJ45" s="77" t="s">
        <v>837</v>
      </c>
      <c r="AK45" s="77" t="s">
        <v>849</v>
      </c>
      <c r="AL45" s="77" t="s">
        <v>850</v>
      </c>
      <c r="AM45" s="77" t="s">
        <v>861</v>
      </c>
      <c r="AN45" s="77" t="s">
        <v>883</v>
      </c>
      <c r="AO45" s="77" t="s">
        <v>905</v>
      </c>
      <c r="AP45" s="77" t="s">
        <v>917</v>
      </c>
      <c r="AQ45" s="77"/>
      <c r="AR45" s="77"/>
      <c r="AS45" s="77"/>
      <c r="AT45" s="77"/>
      <c r="AU45" s="77"/>
      <c r="AV45" s="83" t="str">
        <f>HYPERLINK("https://pbs.twimg.com/profile_images/1746604526743015424/mMHfJZL9_normal.jpg")</f>
        <v>https://pbs.twimg.com/profile_images/1746604526743015424/mMHfJZL9_normal.jpg</v>
      </c>
      <c r="AW45" s="81" t="s">
        <v>981</v>
      </c>
      <c r="AX45" s="81" t="s">
        <v>981</v>
      </c>
      <c r="AY45" s="77"/>
      <c r="AZ45" s="81" t="s">
        <v>1210</v>
      </c>
      <c r="BA45" s="81" t="s">
        <v>1210</v>
      </c>
      <c r="BB45" s="81" t="s">
        <v>1210</v>
      </c>
      <c r="BC45" s="81" t="s">
        <v>981</v>
      </c>
      <c r="BD45" s="77">
        <v>636629755</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v>1</v>
      </c>
      <c r="BN45" s="46">
        <v>4.3478260869565215</v>
      </c>
      <c r="BO45" s="45">
        <v>2</v>
      </c>
      <c r="BP45" s="46">
        <v>8.695652173913043</v>
      </c>
      <c r="BQ45" s="45">
        <v>0</v>
      </c>
      <c r="BR45" s="46">
        <v>0</v>
      </c>
      <c r="BS45" s="45">
        <v>10</v>
      </c>
      <c r="BT45" s="46">
        <v>43.47826086956522</v>
      </c>
      <c r="BU45" s="45">
        <v>23</v>
      </c>
    </row>
    <row r="46" spans="1:73" ht="15">
      <c r="A46" s="61" t="s">
        <v>261</v>
      </c>
      <c r="B46" s="61" t="s">
        <v>261</v>
      </c>
      <c r="C46" s="62"/>
      <c r="D46" s="63"/>
      <c r="E46" s="64"/>
      <c r="F46" s="65"/>
      <c r="G46" s="62"/>
      <c r="H46" s="66"/>
      <c r="I46" s="67"/>
      <c r="J46" s="67"/>
      <c r="K46" s="31" t="s">
        <v>65</v>
      </c>
      <c r="L46" s="75">
        <v>67</v>
      </c>
      <c r="M46" s="75"/>
      <c r="N46" s="69"/>
      <c r="O46" s="77" t="s">
        <v>178</v>
      </c>
      <c r="P46" s="79">
        <v>45150.11466435185</v>
      </c>
      <c r="Q46" s="77" t="s">
        <v>484</v>
      </c>
      <c r="R46" s="77">
        <v>0</v>
      </c>
      <c r="S46" s="77">
        <v>0</v>
      </c>
      <c r="T46" s="77">
        <v>0</v>
      </c>
      <c r="U46" s="77">
        <v>0</v>
      </c>
      <c r="V46" s="77">
        <v>400</v>
      </c>
      <c r="W46" s="81" t="s">
        <v>587</v>
      </c>
      <c r="X46" s="77"/>
      <c r="Y46" s="77"/>
      <c r="Z46" s="77"/>
      <c r="AA46" s="77"/>
      <c r="AB46" s="77"/>
      <c r="AC46" s="81" t="s">
        <v>677</v>
      </c>
      <c r="AD46" s="77" t="s">
        <v>686</v>
      </c>
      <c r="AE46" s="83" t="str">
        <f>HYPERLINK("https://twitter.com/anniesong62/status/1690192659791704064")</f>
        <v>https://twitter.com/anniesong62/status/1690192659791704064</v>
      </c>
      <c r="AF46" s="79">
        <v>45150.11466435185</v>
      </c>
      <c r="AG46" s="85">
        <v>45150</v>
      </c>
      <c r="AH46" s="81" t="s">
        <v>729</v>
      </c>
      <c r="AI46" s="77"/>
      <c r="AJ46" s="77" t="s">
        <v>838</v>
      </c>
      <c r="AK46" s="77" t="s">
        <v>849</v>
      </c>
      <c r="AL46" s="77" t="s">
        <v>850</v>
      </c>
      <c r="AM46" s="77" t="s">
        <v>862</v>
      </c>
      <c r="AN46" s="77" t="s">
        <v>884</v>
      </c>
      <c r="AO46" s="77" t="s">
        <v>906</v>
      </c>
      <c r="AP46" s="77" t="s">
        <v>917</v>
      </c>
      <c r="AQ46" s="77"/>
      <c r="AR46" s="77"/>
      <c r="AS46" s="77"/>
      <c r="AT46" s="77"/>
      <c r="AU46" s="77"/>
      <c r="AV46" s="83" t="str">
        <f>HYPERLINK("https://pbs.twimg.com/profile_images/1751807777172070400/GsQe2T-m_normal.jpg")</f>
        <v>https://pbs.twimg.com/profile_images/1751807777172070400/GsQe2T-m_normal.jpg</v>
      </c>
      <c r="AW46" s="81" t="s">
        <v>982</v>
      </c>
      <c r="AX46" s="81" t="s">
        <v>982</v>
      </c>
      <c r="AY46" s="77"/>
      <c r="AZ46" s="81" t="s">
        <v>1210</v>
      </c>
      <c r="BA46" s="81" t="s">
        <v>1210</v>
      </c>
      <c r="BB46" s="81" t="s">
        <v>1210</v>
      </c>
      <c r="BC46" s="81" t="s">
        <v>982</v>
      </c>
      <c r="BD46" s="81" t="s">
        <v>1253</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v>1</v>
      </c>
      <c r="BN46" s="46">
        <v>2.4390243902439024</v>
      </c>
      <c r="BO46" s="45">
        <v>5</v>
      </c>
      <c r="BP46" s="46">
        <v>12.195121951219512</v>
      </c>
      <c r="BQ46" s="45">
        <v>0</v>
      </c>
      <c r="BR46" s="46">
        <v>0</v>
      </c>
      <c r="BS46" s="45">
        <v>21</v>
      </c>
      <c r="BT46" s="46">
        <v>51.21951219512195</v>
      </c>
      <c r="BU46" s="45">
        <v>41</v>
      </c>
    </row>
    <row r="47" spans="1:73" ht="15">
      <c r="A47" s="61" t="s">
        <v>262</v>
      </c>
      <c r="B47" s="61" t="s">
        <v>375</v>
      </c>
      <c r="C47" s="62"/>
      <c r="D47" s="63"/>
      <c r="E47" s="64"/>
      <c r="F47" s="65"/>
      <c r="G47" s="62"/>
      <c r="H47" s="66"/>
      <c r="I47" s="67"/>
      <c r="J47" s="67"/>
      <c r="K47" s="31" t="s">
        <v>65</v>
      </c>
      <c r="L47" s="75">
        <v>68</v>
      </c>
      <c r="M47" s="75"/>
      <c r="N47" s="69"/>
      <c r="O47" s="77" t="s">
        <v>438</v>
      </c>
      <c r="P47" s="79">
        <v>45316.96177083333</v>
      </c>
      <c r="Q47" s="77" t="s">
        <v>485</v>
      </c>
      <c r="R47" s="77">
        <v>0</v>
      </c>
      <c r="S47" s="77">
        <v>1</v>
      </c>
      <c r="T47" s="77">
        <v>1</v>
      </c>
      <c r="U47" s="77">
        <v>0</v>
      </c>
      <c r="V47" s="77">
        <v>42</v>
      </c>
      <c r="W47" s="77"/>
      <c r="X47" s="77"/>
      <c r="Y47" s="77"/>
      <c r="Z47" s="77" t="s">
        <v>375</v>
      </c>
      <c r="AA47" s="77"/>
      <c r="AB47" s="77"/>
      <c r="AC47" s="81" t="s">
        <v>675</v>
      </c>
      <c r="AD47" s="77" t="s">
        <v>686</v>
      </c>
      <c r="AE47" s="83" t="str">
        <f>HYPERLINK("https://twitter.com/gregormacdonald/status/1750656027555754361")</f>
        <v>https://twitter.com/gregormacdonald/status/1750656027555754361</v>
      </c>
      <c r="AF47" s="79">
        <v>45316.96177083333</v>
      </c>
      <c r="AG47" s="85">
        <v>45316</v>
      </c>
      <c r="AH47" s="81" t="s">
        <v>730</v>
      </c>
      <c r="AI47" s="77"/>
      <c r="AJ47" s="77"/>
      <c r="AK47" s="77"/>
      <c r="AL47" s="77"/>
      <c r="AM47" s="77"/>
      <c r="AN47" s="77"/>
      <c r="AO47" s="77"/>
      <c r="AP47" s="77"/>
      <c r="AQ47" s="77"/>
      <c r="AR47" s="77"/>
      <c r="AS47" s="77"/>
      <c r="AT47" s="77"/>
      <c r="AU47" s="77"/>
      <c r="AV47" s="83" t="str">
        <f>HYPERLINK("https://pbs.twimg.com/profile_images/805548263352848384/bpQMzqgY_normal.jpg")</f>
        <v>https://pbs.twimg.com/profile_images/805548263352848384/bpQMzqgY_normal.jpg</v>
      </c>
      <c r="AW47" s="81" t="s">
        <v>983</v>
      </c>
      <c r="AX47" s="81" t="s">
        <v>1101</v>
      </c>
      <c r="AY47" s="81" t="s">
        <v>1166</v>
      </c>
      <c r="AZ47" s="81" t="s">
        <v>1220</v>
      </c>
      <c r="BA47" s="81" t="s">
        <v>1210</v>
      </c>
      <c r="BB47" s="81" t="s">
        <v>1210</v>
      </c>
      <c r="BC47" s="81" t="s">
        <v>1220</v>
      </c>
      <c r="BD47" s="77">
        <v>12329252</v>
      </c>
      <c r="BE47" s="77"/>
      <c r="BF47" s="77"/>
      <c r="BG47" s="77"/>
      <c r="BH47" s="77"/>
      <c r="BI47" s="77"/>
      <c r="BJ47">
        <v>1</v>
      </c>
      <c r="BK47" s="76" t="str">
        <f>REPLACE(INDEX(GroupVertices[Group],MATCH("~"&amp;Edges27[[#This Row],[Vertex 1]],GroupVertices[Vertex],0)),1,1,"")</f>
        <v>56</v>
      </c>
      <c r="BL47" s="76" t="str">
        <f>REPLACE(INDEX(GroupVertices[Group],MATCH("~"&amp;Edges27[[#This Row],[Vertex 2]],GroupVertices[Vertex],0)),1,1,"")</f>
        <v>56</v>
      </c>
      <c r="BM47" s="45">
        <v>0</v>
      </c>
      <c r="BN47" s="46">
        <v>0</v>
      </c>
      <c r="BO47" s="45">
        <v>2</v>
      </c>
      <c r="BP47" s="46">
        <v>3.9215686274509802</v>
      </c>
      <c r="BQ47" s="45">
        <v>0</v>
      </c>
      <c r="BR47" s="46">
        <v>0</v>
      </c>
      <c r="BS47" s="45">
        <v>22</v>
      </c>
      <c r="BT47" s="46">
        <v>43.13725490196079</v>
      </c>
      <c r="BU47" s="45">
        <v>51</v>
      </c>
    </row>
    <row r="48" spans="1:73" ht="15">
      <c r="A48" s="61" t="s">
        <v>263</v>
      </c>
      <c r="B48" s="61" t="s">
        <v>350</v>
      </c>
      <c r="C48" s="62"/>
      <c r="D48" s="63"/>
      <c r="E48" s="64"/>
      <c r="F48" s="65"/>
      <c r="G48" s="62"/>
      <c r="H48" s="66"/>
      <c r="I48" s="67"/>
      <c r="J48" s="67"/>
      <c r="K48" s="31" t="s">
        <v>65</v>
      </c>
      <c r="L48" s="75">
        <v>69</v>
      </c>
      <c r="M48" s="75"/>
      <c r="N48" s="69"/>
      <c r="O48" s="77" t="s">
        <v>438</v>
      </c>
      <c r="P48" s="79">
        <v>45319.31668981481</v>
      </c>
      <c r="Q48" s="77" t="s">
        <v>486</v>
      </c>
      <c r="R48" s="77">
        <v>0</v>
      </c>
      <c r="S48" s="77">
        <v>6</v>
      </c>
      <c r="T48" s="77">
        <v>1</v>
      </c>
      <c r="U48" s="77">
        <v>0</v>
      </c>
      <c r="V48" s="77">
        <v>121</v>
      </c>
      <c r="W48" s="77"/>
      <c r="X48" s="77"/>
      <c r="Y48" s="77"/>
      <c r="Z48" s="77" t="s">
        <v>350</v>
      </c>
      <c r="AA48" s="77"/>
      <c r="AB48" s="77"/>
      <c r="AC48" s="81" t="s">
        <v>677</v>
      </c>
      <c r="AD48" s="77" t="s">
        <v>686</v>
      </c>
      <c r="AE48" s="83" t="str">
        <f>HYPERLINK("https://twitter.com/stumptowngrrl/status/1751509424005615896")</f>
        <v>https://twitter.com/stumptowngrrl/status/1751509424005615896</v>
      </c>
      <c r="AF48" s="79">
        <v>45319.31668981481</v>
      </c>
      <c r="AG48" s="85">
        <v>45319</v>
      </c>
      <c r="AH48" s="81" t="s">
        <v>731</v>
      </c>
      <c r="AI48" s="77"/>
      <c r="AJ48" s="77"/>
      <c r="AK48" s="77"/>
      <c r="AL48" s="77"/>
      <c r="AM48" s="77"/>
      <c r="AN48" s="77"/>
      <c r="AO48" s="77"/>
      <c r="AP48" s="77"/>
      <c r="AQ48" s="77"/>
      <c r="AR48" s="77"/>
      <c r="AS48" s="77"/>
      <c r="AT48" s="77"/>
      <c r="AU48" s="77"/>
      <c r="AV48" s="83" t="str">
        <f>HYPERLINK("https://pbs.twimg.com/profile_images/1360505129548435458/8BWst4aF_normal.jpg")</f>
        <v>https://pbs.twimg.com/profile_images/1360505129548435458/8BWst4aF_normal.jpg</v>
      </c>
      <c r="AW48" s="81" t="s">
        <v>984</v>
      </c>
      <c r="AX48" s="81" t="s">
        <v>1102</v>
      </c>
      <c r="AY48" s="81" t="s">
        <v>1151</v>
      </c>
      <c r="AZ48" s="81" t="s">
        <v>1102</v>
      </c>
      <c r="BA48" s="81" t="s">
        <v>1210</v>
      </c>
      <c r="BB48" s="81" t="s">
        <v>1210</v>
      </c>
      <c r="BC48" s="81" t="s">
        <v>1102</v>
      </c>
      <c r="BD48" s="81" t="s">
        <v>1254</v>
      </c>
      <c r="BE48" s="77"/>
      <c r="BF48" s="77"/>
      <c r="BG48" s="77"/>
      <c r="BH48" s="77"/>
      <c r="BI48" s="77"/>
      <c r="BJ48">
        <v>1</v>
      </c>
      <c r="BK48" s="76" t="str">
        <f>REPLACE(INDEX(GroupVertices[Group],MATCH("~"&amp;Edges27[[#This Row],[Vertex 1]],GroupVertices[Vertex],0)),1,1,"")</f>
        <v>2</v>
      </c>
      <c r="BL48" s="76" t="str">
        <f>REPLACE(INDEX(GroupVertices[Group],MATCH("~"&amp;Edges27[[#This Row],[Vertex 2]],GroupVertices[Vertex],0)),1,1,"")</f>
        <v>2</v>
      </c>
      <c r="BM48" s="45">
        <v>0</v>
      </c>
      <c r="BN48" s="46">
        <v>0</v>
      </c>
      <c r="BO48" s="45">
        <v>2</v>
      </c>
      <c r="BP48" s="46">
        <v>6.896551724137931</v>
      </c>
      <c r="BQ48" s="45">
        <v>0</v>
      </c>
      <c r="BR48" s="46">
        <v>0</v>
      </c>
      <c r="BS48" s="45">
        <v>17</v>
      </c>
      <c r="BT48" s="46">
        <v>58.62068965517241</v>
      </c>
      <c r="BU48" s="45">
        <v>29</v>
      </c>
    </row>
    <row r="49" spans="1:73" ht="15">
      <c r="A49" s="61" t="s">
        <v>264</v>
      </c>
      <c r="B49" s="61" t="s">
        <v>264</v>
      </c>
      <c r="C49" s="62"/>
      <c r="D49" s="63"/>
      <c r="E49" s="64"/>
      <c r="F49" s="65"/>
      <c r="G49" s="62"/>
      <c r="H49" s="66"/>
      <c r="I49" s="67"/>
      <c r="J49" s="67"/>
      <c r="K49" s="31" t="s">
        <v>65</v>
      </c>
      <c r="L49" s="75">
        <v>70</v>
      </c>
      <c r="M49" s="75"/>
      <c r="N49" s="69"/>
      <c r="O49" s="77" t="s">
        <v>438</v>
      </c>
      <c r="P49" s="79">
        <v>44998.80222222222</v>
      </c>
      <c r="Q49" s="77" t="s">
        <v>487</v>
      </c>
      <c r="R49" s="77">
        <v>0</v>
      </c>
      <c r="S49" s="77">
        <v>1</v>
      </c>
      <c r="T49" s="77">
        <v>0</v>
      </c>
      <c r="U49" s="77">
        <v>0</v>
      </c>
      <c r="V49" s="77">
        <v>131</v>
      </c>
      <c r="W49" s="77"/>
      <c r="X49" s="83" t="str">
        <f>HYPERLINK("https://www.nytimes.com/2023/03/08/us/san-bernardino-snow-storm-deaths.html")</f>
        <v>https://www.nytimes.com/2023/03/08/us/san-bernardino-snow-storm-deaths.html</v>
      </c>
      <c r="Y49" s="77" t="s">
        <v>606</v>
      </c>
      <c r="Z49" s="77" t="s">
        <v>632</v>
      </c>
      <c r="AA49" s="77"/>
      <c r="AB49" s="77"/>
      <c r="AC49" s="81" t="s">
        <v>677</v>
      </c>
      <c r="AD49" s="77" t="s">
        <v>686</v>
      </c>
      <c r="AE49" s="83" t="str">
        <f>HYPERLINK("https://twitter.com/aquabluelounge/status/1635358869835907073")</f>
        <v>https://twitter.com/aquabluelounge/status/1635358869835907073</v>
      </c>
      <c r="AF49" s="79">
        <v>44998.80222222222</v>
      </c>
      <c r="AG49" s="85">
        <v>44998</v>
      </c>
      <c r="AH49" s="81" t="s">
        <v>732</v>
      </c>
      <c r="AI49" s="77" t="b">
        <v>0</v>
      </c>
      <c r="AJ49" s="77" t="s">
        <v>828</v>
      </c>
      <c r="AK49" s="77" t="s">
        <v>849</v>
      </c>
      <c r="AL49" s="77" t="s">
        <v>850</v>
      </c>
      <c r="AM49" s="77" t="s">
        <v>852</v>
      </c>
      <c r="AN49" s="77" t="s">
        <v>874</v>
      </c>
      <c r="AO49" s="77" t="s">
        <v>896</v>
      </c>
      <c r="AP49" s="77" t="s">
        <v>917</v>
      </c>
      <c r="AQ49" s="77"/>
      <c r="AR49" s="77"/>
      <c r="AS49" s="77"/>
      <c r="AT49" s="77"/>
      <c r="AU49" s="77"/>
      <c r="AV49" s="83" t="str">
        <f>HYPERLINK("https://pbs.twimg.com/profile_images/1743398343626342400/puH3vfCb_normal.jpg")</f>
        <v>https://pbs.twimg.com/profile_images/1743398343626342400/puH3vfCb_normal.jpg</v>
      </c>
      <c r="AW49" s="81" t="s">
        <v>985</v>
      </c>
      <c r="AX49" s="81" t="s">
        <v>1103</v>
      </c>
      <c r="AY49" s="81" t="s">
        <v>1167</v>
      </c>
      <c r="AZ49" s="81" t="s">
        <v>1221</v>
      </c>
      <c r="BA49" s="81" t="s">
        <v>1210</v>
      </c>
      <c r="BB49" s="81" t="s">
        <v>1210</v>
      </c>
      <c r="BC49" s="81" t="s">
        <v>1221</v>
      </c>
      <c r="BD49" s="81" t="s">
        <v>1167</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v>0</v>
      </c>
      <c r="BN49" s="46">
        <v>0</v>
      </c>
      <c r="BO49" s="45">
        <v>3</v>
      </c>
      <c r="BP49" s="46">
        <v>18.75</v>
      </c>
      <c r="BQ49" s="45">
        <v>0</v>
      </c>
      <c r="BR49" s="46">
        <v>0</v>
      </c>
      <c r="BS49" s="45">
        <v>11</v>
      </c>
      <c r="BT49" s="46">
        <v>68.75</v>
      </c>
      <c r="BU49" s="45">
        <v>16</v>
      </c>
    </row>
    <row r="50" spans="1:73" ht="15">
      <c r="A50" s="61" t="s">
        <v>265</v>
      </c>
      <c r="B50" s="61" t="s">
        <v>376</v>
      </c>
      <c r="C50" s="62"/>
      <c r="D50" s="63"/>
      <c r="E50" s="64"/>
      <c r="F50" s="65"/>
      <c r="G50" s="62"/>
      <c r="H50" s="66"/>
      <c r="I50" s="67"/>
      <c r="J50" s="67"/>
      <c r="K50" s="31" t="s">
        <v>65</v>
      </c>
      <c r="L50" s="75">
        <v>71</v>
      </c>
      <c r="M50" s="75"/>
      <c r="N50" s="69"/>
      <c r="O50" s="77" t="s">
        <v>441</v>
      </c>
      <c r="P50" s="79">
        <v>45320.28097222222</v>
      </c>
      <c r="Q50" s="77" t="s">
        <v>488</v>
      </c>
      <c r="R50" s="77">
        <v>0</v>
      </c>
      <c r="S50" s="77">
        <v>0</v>
      </c>
      <c r="T50" s="77">
        <v>0</v>
      </c>
      <c r="U50" s="77">
        <v>0</v>
      </c>
      <c r="V50" s="77">
        <v>8</v>
      </c>
      <c r="W50" s="77"/>
      <c r="X50" s="77"/>
      <c r="Y50" s="77"/>
      <c r="Z50" s="77" t="s">
        <v>376</v>
      </c>
      <c r="AA50" s="77"/>
      <c r="AB50" s="77"/>
      <c r="AC50" s="81" t="s">
        <v>677</v>
      </c>
      <c r="AD50" s="77" t="s">
        <v>686</v>
      </c>
      <c r="AE50" s="83" t="str">
        <f>HYPERLINK("https://twitter.com/maxbelousovgg/status/1751858866869166451")</f>
        <v>https://twitter.com/maxbelousovgg/status/1751858866869166451</v>
      </c>
      <c r="AF50" s="79">
        <v>45320.28097222222</v>
      </c>
      <c r="AG50" s="85">
        <v>45320</v>
      </c>
      <c r="AH50" s="81" t="s">
        <v>733</v>
      </c>
      <c r="AI50" s="77"/>
      <c r="AJ50" s="77"/>
      <c r="AK50" s="77"/>
      <c r="AL50" s="77"/>
      <c r="AM50" s="77"/>
      <c r="AN50" s="77"/>
      <c r="AO50" s="77"/>
      <c r="AP50" s="77"/>
      <c r="AQ50" s="77"/>
      <c r="AR50" s="77"/>
      <c r="AS50" s="77"/>
      <c r="AT50" s="77"/>
      <c r="AU50" s="77"/>
      <c r="AV50" s="83" t="str">
        <f>HYPERLINK("https://pbs.twimg.com/profile_images/1586113785034838017/1IjvbCSZ_normal.jpg")</f>
        <v>https://pbs.twimg.com/profile_images/1586113785034838017/1IjvbCSZ_normal.jpg</v>
      </c>
      <c r="AW50" s="81" t="s">
        <v>986</v>
      </c>
      <c r="AX50" s="81" t="s">
        <v>986</v>
      </c>
      <c r="AY50" s="77"/>
      <c r="AZ50" s="81" t="s">
        <v>1210</v>
      </c>
      <c r="BA50" s="81" t="s">
        <v>1023</v>
      </c>
      <c r="BB50" s="81" t="s">
        <v>1210</v>
      </c>
      <c r="BC50" s="81" t="s">
        <v>1023</v>
      </c>
      <c r="BD50" s="81" t="s">
        <v>1255</v>
      </c>
      <c r="BE50" s="77"/>
      <c r="BF50" s="77"/>
      <c r="BG50" s="77"/>
      <c r="BH50" s="77"/>
      <c r="BI50" s="77"/>
      <c r="BJ50">
        <v>1</v>
      </c>
      <c r="BK50" s="76" t="str">
        <f>REPLACE(INDEX(GroupVertices[Group],MATCH("~"&amp;Edges27[[#This Row],[Vertex 1]],GroupVertices[Vertex],0)),1,1,"")</f>
        <v>2</v>
      </c>
      <c r="BL50" s="76" t="str">
        <f>REPLACE(INDEX(GroupVertices[Group],MATCH("~"&amp;Edges27[[#This Row],[Vertex 2]],GroupVertices[Vertex],0)),1,1,"")</f>
        <v>2</v>
      </c>
      <c r="BM50" s="45">
        <v>1</v>
      </c>
      <c r="BN50" s="46">
        <v>9.090909090909092</v>
      </c>
      <c r="BO50" s="45">
        <v>1</v>
      </c>
      <c r="BP50" s="46">
        <v>9.090909090909092</v>
      </c>
      <c r="BQ50" s="45">
        <v>0</v>
      </c>
      <c r="BR50" s="46">
        <v>0</v>
      </c>
      <c r="BS50" s="45">
        <v>4</v>
      </c>
      <c r="BT50" s="46">
        <v>36.36363636363637</v>
      </c>
      <c r="BU50" s="45">
        <v>11</v>
      </c>
    </row>
    <row r="51" spans="1:73" ht="15">
      <c r="A51" s="61" t="s">
        <v>266</v>
      </c>
      <c r="B51" s="61" t="s">
        <v>377</v>
      </c>
      <c r="C51" s="62"/>
      <c r="D51" s="63"/>
      <c r="E51" s="64"/>
      <c r="F51" s="65"/>
      <c r="G51" s="62"/>
      <c r="H51" s="66"/>
      <c r="I51" s="67"/>
      <c r="J51" s="67"/>
      <c r="K51" s="31" t="s">
        <v>65</v>
      </c>
      <c r="L51" s="75">
        <v>73</v>
      </c>
      <c r="M51" s="75"/>
      <c r="N51" s="69"/>
      <c r="O51" s="77" t="s">
        <v>438</v>
      </c>
      <c r="P51" s="79">
        <v>45320.282858796294</v>
      </c>
      <c r="Q51" s="77" t="s">
        <v>489</v>
      </c>
      <c r="R51" s="77">
        <v>0</v>
      </c>
      <c r="S51" s="77">
        <v>1</v>
      </c>
      <c r="T51" s="77">
        <v>0</v>
      </c>
      <c r="U51" s="77">
        <v>0</v>
      </c>
      <c r="V51" s="77">
        <v>18</v>
      </c>
      <c r="W51" s="81" t="s">
        <v>588</v>
      </c>
      <c r="X51" s="77"/>
      <c r="Y51" s="77"/>
      <c r="Z51" s="77" t="s">
        <v>377</v>
      </c>
      <c r="AA51" s="77"/>
      <c r="AB51" s="77"/>
      <c r="AC51" s="81" t="s">
        <v>674</v>
      </c>
      <c r="AD51" s="77" t="s">
        <v>686</v>
      </c>
      <c r="AE51" s="83" t="str">
        <f>HYPERLINK("https://twitter.com/katesattler/status/1751859548636471391")</f>
        <v>https://twitter.com/katesattler/status/1751859548636471391</v>
      </c>
      <c r="AF51" s="79">
        <v>45320.282858796294</v>
      </c>
      <c r="AG51" s="85">
        <v>45320</v>
      </c>
      <c r="AH51" s="81" t="s">
        <v>734</v>
      </c>
      <c r="AI51" s="77"/>
      <c r="AJ51" s="77"/>
      <c r="AK51" s="77"/>
      <c r="AL51" s="77"/>
      <c r="AM51" s="77"/>
      <c r="AN51" s="77"/>
      <c r="AO51" s="77"/>
      <c r="AP51" s="77"/>
      <c r="AQ51" s="77"/>
      <c r="AR51" s="77"/>
      <c r="AS51" s="77"/>
      <c r="AT51" s="77"/>
      <c r="AU51" s="77"/>
      <c r="AV51" s="83" t="str">
        <f>HYPERLINK("https://pbs.twimg.com/profile_images/1745285983845933056/Vt_MUDXB_normal.jpg")</f>
        <v>https://pbs.twimg.com/profile_images/1745285983845933056/Vt_MUDXB_normal.jpg</v>
      </c>
      <c r="AW51" s="81" t="s">
        <v>987</v>
      </c>
      <c r="AX51" s="81" t="s">
        <v>1104</v>
      </c>
      <c r="AY51" s="81" t="s">
        <v>1168</v>
      </c>
      <c r="AZ51" s="81" t="s">
        <v>1104</v>
      </c>
      <c r="BA51" s="81" t="s">
        <v>1210</v>
      </c>
      <c r="BB51" s="81" t="s">
        <v>1210</v>
      </c>
      <c r="BC51" s="81" t="s">
        <v>1104</v>
      </c>
      <c r="BD51" s="77">
        <v>250872552</v>
      </c>
      <c r="BE51" s="77"/>
      <c r="BF51" s="77"/>
      <c r="BG51" s="77"/>
      <c r="BH51" s="77"/>
      <c r="BI51" s="77"/>
      <c r="BJ51">
        <v>1</v>
      </c>
      <c r="BK51" s="76" t="str">
        <f>REPLACE(INDEX(GroupVertices[Group],MATCH("~"&amp;Edges27[[#This Row],[Vertex 1]],GroupVertices[Vertex],0)),1,1,"")</f>
        <v>55</v>
      </c>
      <c r="BL51" s="76" t="str">
        <f>REPLACE(INDEX(GroupVertices[Group],MATCH("~"&amp;Edges27[[#This Row],[Vertex 2]],GroupVertices[Vertex],0)),1,1,"")</f>
        <v>55</v>
      </c>
      <c r="BM51" s="45">
        <v>1</v>
      </c>
      <c r="BN51" s="46">
        <v>2.4390243902439024</v>
      </c>
      <c r="BO51" s="45">
        <v>4</v>
      </c>
      <c r="BP51" s="46">
        <v>9.75609756097561</v>
      </c>
      <c r="BQ51" s="45">
        <v>0</v>
      </c>
      <c r="BR51" s="46">
        <v>0</v>
      </c>
      <c r="BS51" s="45">
        <v>18</v>
      </c>
      <c r="BT51" s="46">
        <v>43.90243902439025</v>
      </c>
      <c r="BU51" s="45">
        <v>41</v>
      </c>
    </row>
    <row r="52" spans="1:73" ht="15">
      <c r="A52" s="61" t="s">
        <v>267</v>
      </c>
      <c r="B52" s="61" t="s">
        <v>378</v>
      </c>
      <c r="C52" s="62"/>
      <c r="D52" s="63"/>
      <c r="E52" s="64"/>
      <c r="F52" s="65"/>
      <c r="G52" s="62"/>
      <c r="H52" s="66"/>
      <c r="I52" s="67"/>
      <c r="J52" s="67"/>
      <c r="K52" s="31" t="s">
        <v>65</v>
      </c>
      <c r="L52" s="75">
        <v>74</v>
      </c>
      <c r="M52" s="75"/>
      <c r="N52" s="69"/>
      <c r="O52" s="77" t="s">
        <v>440</v>
      </c>
      <c r="P52" s="79">
        <v>45312.884722222225</v>
      </c>
      <c r="Q52" s="77" t="s">
        <v>490</v>
      </c>
      <c r="R52" s="77">
        <v>0</v>
      </c>
      <c r="S52" s="77">
        <v>1</v>
      </c>
      <c r="T52" s="77">
        <v>0</v>
      </c>
      <c r="U52" s="77">
        <v>0</v>
      </c>
      <c r="V52" s="77">
        <v>220</v>
      </c>
      <c r="W52" s="77"/>
      <c r="X52" s="83" t="str">
        <f>HYPERLINK("http://spr.ly/6014rxXTi")</f>
        <v>http://spr.ly/6014rxXTi</v>
      </c>
      <c r="Y52" s="77" t="s">
        <v>607</v>
      </c>
      <c r="Z52" s="77" t="s">
        <v>378</v>
      </c>
      <c r="AA52" s="77"/>
      <c r="AB52" s="77"/>
      <c r="AC52" s="81" t="s">
        <v>679</v>
      </c>
      <c r="AD52" s="77" t="s">
        <v>686</v>
      </c>
      <c r="AE52" s="83" t="str">
        <f>HYPERLINK("https://twitter.com/ohsubrain/status/1749178556813394317")</f>
        <v>https://twitter.com/ohsubrain/status/1749178556813394317</v>
      </c>
      <c r="AF52" s="79">
        <v>45312.884722222225</v>
      </c>
      <c r="AG52" s="85">
        <v>45312</v>
      </c>
      <c r="AH52" s="81" t="s">
        <v>735</v>
      </c>
      <c r="AI52" s="77" t="b">
        <v>0</v>
      </c>
      <c r="AJ52" s="77"/>
      <c r="AK52" s="77"/>
      <c r="AL52" s="77"/>
      <c r="AM52" s="77"/>
      <c r="AN52" s="77"/>
      <c r="AO52" s="77"/>
      <c r="AP52" s="77"/>
      <c r="AQ52" s="77"/>
      <c r="AR52" s="77"/>
      <c r="AS52" s="77"/>
      <c r="AT52" s="77"/>
      <c r="AU52" s="77"/>
      <c r="AV52" s="83" t="str">
        <f>HYPERLINK("https://pbs.twimg.com/profile_images/1675902825338130432/ZYzUUDgm_normal.jpg")</f>
        <v>https://pbs.twimg.com/profile_images/1675902825338130432/ZYzUUDgm_normal.jpg</v>
      </c>
      <c r="AW52" s="81" t="s">
        <v>988</v>
      </c>
      <c r="AX52" s="81" t="s">
        <v>988</v>
      </c>
      <c r="AY52" s="77"/>
      <c r="AZ52" s="81" t="s">
        <v>1210</v>
      </c>
      <c r="BA52" s="81" t="s">
        <v>1210</v>
      </c>
      <c r="BB52" s="81" t="s">
        <v>1210</v>
      </c>
      <c r="BC52" s="81" t="s">
        <v>988</v>
      </c>
      <c r="BD52" s="77">
        <v>454235500</v>
      </c>
      <c r="BE52" s="77"/>
      <c r="BF52" s="77"/>
      <c r="BG52" s="77"/>
      <c r="BH52" s="77"/>
      <c r="BI52" s="77"/>
      <c r="BJ52">
        <v>1</v>
      </c>
      <c r="BK52" s="76" t="str">
        <f>REPLACE(INDEX(GroupVertices[Group],MATCH("~"&amp;Edges27[[#This Row],[Vertex 1]],GroupVertices[Vertex],0)),1,1,"")</f>
        <v>54</v>
      </c>
      <c r="BL52" s="76" t="str">
        <f>REPLACE(INDEX(GroupVertices[Group],MATCH("~"&amp;Edges27[[#This Row],[Vertex 2]],GroupVertices[Vertex],0)),1,1,"")</f>
        <v>54</v>
      </c>
      <c r="BM52" s="45">
        <v>0</v>
      </c>
      <c r="BN52" s="46">
        <v>0</v>
      </c>
      <c r="BO52" s="45">
        <v>3</v>
      </c>
      <c r="BP52" s="46">
        <v>15.789473684210526</v>
      </c>
      <c r="BQ52" s="45">
        <v>0</v>
      </c>
      <c r="BR52" s="46">
        <v>0</v>
      </c>
      <c r="BS52" s="45">
        <v>8</v>
      </c>
      <c r="BT52" s="46">
        <v>42.10526315789474</v>
      </c>
      <c r="BU52" s="45">
        <v>19</v>
      </c>
    </row>
    <row r="53" spans="1:73" ht="15">
      <c r="A53" s="61" t="s">
        <v>268</v>
      </c>
      <c r="B53" s="61" t="s">
        <v>379</v>
      </c>
      <c r="C53" s="62"/>
      <c r="D53" s="63"/>
      <c r="E53" s="64"/>
      <c r="F53" s="65"/>
      <c r="G53" s="62"/>
      <c r="H53" s="66"/>
      <c r="I53" s="67"/>
      <c r="J53" s="67"/>
      <c r="K53" s="31" t="s">
        <v>65</v>
      </c>
      <c r="L53" s="75">
        <v>75</v>
      </c>
      <c r="M53" s="75"/>
      <c r="N53" s="69"/>
      <c r="O53" s="77" t="s">
        <v>440</v>
      </c>
      <c r="P53" s="79">
        <v>45275.96172453704</v>
      </c>
      <c r="Q53" s="77" t="s">
        <v>491</v>
      </c>
      <c r="R53" s="77">
        <v>51</v>
      </c>
      <c r="S53" s="77">
        <v>301</v>
      </c>
      <c r="T53" s="77">
        <v>85</v>
      </c>
      <c r="U53" s="77">
        <v>10</v>
      </c>
      <c r="V53" s="77">
        <v>19563</v>
      </c>
      <c r="W53" s="77"/>
      <c r="X53" s="83" t="str">
        <f>HYPERLINK("https://www.kgw.com/article/news/local/interstate-bridge-replacement-first-federal-funding/283-ee7735d4-4c90-4f7c-92d7-55069cb98bca")</f>
        <v>https://www.kgw.com/article/news/local/interstate-bridge-replacement-first-federal-funding/283-ee7735d4-4c90-4f7c-92d7-55069cb98bca</v>
      </c>
      <c r="Y53" s="77" t="s">
        <v>608</v>
      </c>
      <c r="Z53" s="77" t="s">
        <v>379</v>
      </c>
      <c r="AA53" s="77"/>
      <c r="AB53" s="77"/>
      <c r="AC53" s="81" t="s">
        <v>675</v>
      </c>
      <c r="AD53" s="77" t="s">
        <v>686</v>
      </c>
      <c r="AE53" s="83" t="str">
        <f>HYPERLINK("https://twitter.com/senjeffmerkley/status/1735798109244997882")</f>
        <v>https://twitter.com/senjeffmerkley/status/1735798109244997882</v>
      </c>
      <c r="AF53" s="79">
        <v>45275.96172453704</v>
      </c>
      <c r="AG53" s="85">
        <v>45275</v>
      </c>
      <c r="AH53" s="81" t="s">
        <v>736</v>
      </c>
      <c r="AI53" s="77" t="b">
        <v>0</v>
      </c>
      <c r="AJ53" s="77"/>
      <c r="AK53" s="77"/>
      <c r="AL53" s="77"/>
      <c r="AM53" s="77"/>
      <c r="AN53" s="77"/>
      <c r="AO53" s="77"/>
      <c r="AP53" s="77"/>
      <c r="AQ53" s="77"/>
      <c r="AR53" s="77"/>
      <c r="AS53" s="77"/>
      <c r="AT53" s="77"/>
      <c r="AU53" s="77"/>
      <c r="AV53" s="83" t="str">
        <f>HYPERLINK("https://pbs.twimg.com/profile_images/873324219630854144/-7ZzOONo_normal.jpg")</f>
        <v>https://pbs.twimg.com/profile_images/873324219630854144/-7ZzOONo_normal.jpg</v>
      </c>
      <c r="AW53" s="81" t="s">
        <v>989</v>
      </c>
      <c r="AX53" s="81" t="s">
        <v>989</v>
      </c>
      <c r="AY53" s="77"/>
      <c r="AZ53" s="81" t="s">
        <v>1210</v>
      </c>
      <c r="BA53" s="81" t="s">
        <v>1210</v>
      </c>
      <c r="BB53" s="81" t="s">
        <v>1210</v>
      </c>
      <c r="BC53" s="81" t="s">
        <v>989</v>
      </c>
      <c r="BD53" s="77">
        <v>29201047</v>
      </c>
      <c r="BE53" s="77"/>
      <c r="BF53" s="77"/>
      <c r="BG53" s="77"/>
      <c r="BH53" s="77"/>
      <c r="BI53" s="77"/>
      <c r="BJ53">
        <v>1</v>
      </c>
      <c r="BK53" s="76" t="str">
        <f>REPLACE(INDEX(GroupVertices[Group],MATCH("~"&amp;Edges27[[#This Row],[Vertex 1]],GroupVertices[Vertex],0)),1,1,"")</f>
        <v>3</v>
      </c>
      <c r="BL53" s="76" t="str">
        <f>REPLACE(INDEX(GroupVertices[Group],MATCH("~"&amp;Edges27[[#This Row],[Vertex 2]],GroupVertices[Vertex],0)),1,1,"")</f>
        <v>3</v>
      </c>
      <c r="BM53" s="45">
        <v>1</v>
      </c>
      <c r="BN53" s="46">
        <v>3.5714285714285716</v>
      </c>
      <c r="BO53" s="45">
        <v>1</v>
      </c>
      <c r="BP53" s="46">
        <v>3.5714285714285716</v>
      </c>
      <c r="BQ53" s="45">
        <v>0</v>
      </c>
      <c r="BR53" s="46">
        <v>0</v>
      </c>
      <c r="BS53" s="45">
        <v>15</v>
      </c>
      <c r="BT53" s="46">
        <v>53.57142857142857</v>
      </c>
      <c r="BU53" s="45">
        <v>28</v>
      </c>
    </row>
    <row r="54" spans="1:73" ht="15">
      <c r="A54" s="61" t="s">
        <v>269</v>
      </c>
      <c r="B54" s="61" t="s">
        <v>269</v>
      </c>
      <c r="C54" s="62"/>
      <c r="D54" s="63"/>
      <c r="E54" s="64"/>
      <c r="F54" s="65"/>
      <c r="G54" s="62"/>
      <c r="H54" s="66"/>
      <c r="I54" s="67"/>
      <c r="J54" s="67"/>
      <c r="K54" s="31" t="s">
        <v>65</v>
      </c>
      <c r="L54" s="75">
        <v>76</v>
      </c>
      <c r="M54" s="75"/>
      <c r="N54" s="69"/>
      <c r="O54" s="77" t="s">
        <v>178</v>
      </c>
      <c r="P54" s="79">
        <v>45247.99136574074</v>
      </c>
      <c r="Q54" s="77" t="s">
        <v>492</v>
      </c>
      <c r="R54" s="77">
        <v>0</v>
      </c>
      <c r="S54" s="77">
        <v>0</v>
      </c>
      <c r="T54" s="77">
        <v>0</v>
      </c>
      <c r="U54" s="77">
        <v>0</v>
      </c>
      <c r="V54" s="77">
        <v>30</v>
      </c>
      <c r="W54" s="77"/>
      <c r="X54" s="77"/>
      <c r="Y54" s="77"/>
      <c r="Z54" s="77"/>
      <c r="AA54" s="77"/>
      <c r="AB54" s="77"/>
      <c r="AC54" s="81" t="s">
        <v>674</v>
      </c>
      <c r="AD54" s="77" t="s">
        <v>686</v>
      </c>
      <c r="AE54" s="83" t="str">
        <f>HYPERLINK("https://twitter.com/luke_the_duke00/status/1725661990784532884")</f>
        <v>https://twitter.com/luke_the_duke00/status/1725661990784532884</v>
      </c>
      <c r="AF54" s="79">
        <v>45247.99136574074</v>
      </c>
      <c r="AG54" s="85">
        <v>45247</v>
      </c>
      <c r="AH54" s="81" t="s">
        <v>737</v>
      </c>
      <c r="AI54" s="77"/>
      <c r="AJ54" s="77" t="s">
        <v>828</v>
      </c>
      <c r="AK54" s="77" t="s">
        <v>849</v>
      </c>
      <c r="AL54" s="77" t="s">
        <v>850</v>
      </c>
      <c r="AM54" s="77" t="s">
        <v>852</v>
      </c>
      <c r="AN54" s="77" t="s">
        <v>874</v>
      </c>
      <c r="AO54" s="77" t="s">
        <v>896</v>
      </c>
      <c r="AP54" s="77" t="s">
        <v>917</v>
      </c>
      <c r="AQ54" s="77"/>
      <c r="AR54" s="77"/>
      <c r="AS54" s="77"/>
      <c r="AT54" s="77"/>
      <c r="AU54" s="77"/>
      <c r="AV54" s="83" t="str">
        <f>HYPERLINK("https://pbs.twimg.com/profile_images/1694180899079000064/qaRDpEuf_normal.jpg")</f>
        <v>https://pbs.twimg.com/profile_images/1694180899079000064/qaRDpEuf_normal.jpg</v>
      </c>
      <c r="AW54" s="81" t="s">
        <v>990</v>
      </c>
      <c r="AX54" s="81" t="s">
        <v>990</v>
      </c>
      <c r="AY54" s="77"/>
      <c r="AZ54" s="81" t="s">
        <v>1210</v>
      </c>
      <c r="BA54" s="81" t="s">
        <v>1210</v>
      </c>
      <c r="BB54" s="81" t="s">
        <v>1210</v>
      </c>
      <c r="BC54" s="81" t="s">
        <v>990</v>
      </c>
      <c r="BD54" s="81" t="s">
        <v>1256</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v>2</v>
      </c>
      <c r="BN54" s="46">
        <v>8.695652173913043</v>
      </c>
      <c r="BO54" s="45">
        <v>1</v>
      </c>
      <c r="BP54" s="46">
        <v>4.3478260869565215</v>
      </c>
      <c r="BQ54" s="45">
        <v>0</v>
      </c>
      <c r="BR54" s="46">
        <v>0</v>
      </c>
      <c r="BS54" s="45">
        <v>11</v>
      </c>
      <c r="BT54" s="46">
        <v>47.82608695652174</v>
      </c>
      <c r="BU54" s="45">
        <v>23</v>
      </c>
    </row>
    <row r="55" spans="1:73" ht="15">
      <c r="A55" s="61" t="s">
        <v>270</v>
      </c>
      <c r="B55" s="61" t="s">
        <v>380</v>
      </c>
      <c r="C55" s="62"/>
      <c r="D55" s="63"/>
      <c r="E55" s="64"/>
      <c r="F55" s="65"/>
      <c r="G55" s="62"/>
      <c r="H55" s="66"/>
      <c r="I55" s="67"/>
      <c r="J55" s="67"/>
      <c r="K55" s="31" t="s">
        <v>65</v>
      </c>
      <c r="L55" s="75">
        <v>77</v>
      </c>
      <c r="M55" s="75"/>
      <c r="N55" s="69"/>
      <c r="O55" s="77" t="s">
        <v>437</v>
      </c>
      <c r="P55" s="79">
        <v>45318.79274305556</v>
      </c>
      <c r="Q55" s="77" t="s">
        <v>493</v>
      </c>
      <c r="R55" s="77">
        <v>0</v>
      </c>
      <c r="S55" s="77">
        <v>0</v>
      </c>
      <c r="T55" s="77">
        <v>1</v>
      </c>
      <c r="U55" s="77">
        <v>0</v>
      </c>
      <c r="V55" s="77">
        <v>37</v>
      </c>
      <c r="W55" s="77"/>
      <c r="X55" s="77"/>
      <c r="Y55" s="77"/>
      <c r="Z55" s="77" t="s">
        <v>633</v>
      </c>
      <c r="AA55" s="77"/>
      <c r="AB55" s="77"/>
      <c r="AC55" s="81" t="s">
        <v>674</v>
      </c>
      <c r="AD55" s="77" t="s">
        <v>686</v>
      </c>
      <c r="AE55" s="83" t="str">
        <f>HYPERLINK("https://twitter.com/toonimator/status/1751319552162754926")</f>
        <v>https://twitter.com/toonimator/status/1751319552162754926</v>
      </c>
      <c r="AF55" s="79">
        <v>45318.79274305556</v>
      </c>
      <c r="AG55" s="85">
        <v>45318</v>
      </c>
      <c r="AH55" s="81" t="s">
        <v>738</v>
      </c>
      <c r="AI55" s="77"/>
      <c r="AJ55" s="77"/>
      <c r="AK55" s="77"/>
      <c r="AL55" s="77"/>
      <c r="AM55" s="77"/>
      <c r="AN55" s="77"/>
      <c r="AO55" s="77"/>
      <c r="AP55" s="77"/>
      <c r="AQ55" s="77"/>
      <c r="AR55" s="77"/>
      <c r="AS55" s="77"/>
      <c r="AT55" s="77"/>
      <c r="AU55" s="77"/>
      <c r="AV55" s="83" t="str">
        <f>HYPERLINK("https://pbs.twimg.com/profile_images/1741678371434807296/1vFvxkHb_normal.jpg")</f>
        <v>https://pbs.twimg.com/profile_images/1741678371434807296/1vFvxkHb_normal.jpg</v>
      </c>
      <c r="AW55" s="81" t="s">
        <v>991</v>
      </c>
      <c r="AX55" s="81" t="s">
        <v>1105</v>
      </c>
      <c r="AY55" s="81" t="s">
        <v>1169</v>
      </c>
      <c r="AZ55" s="81" t="s">
        <v>1222</v>
      </c>
      <c r="BA55" s="81" t="s">
        <v>1210</v>
      </c>
      <c r="BB55" s="81" t="s">
        <v>1210</v>
      </c>
      <c r="BC55" s="81" t="s">
        <v>1222</v>
      </c>
      <c r="BD55" s="77">
        <v>393650365</v>
      </c>
      <c r="BE55" s="77"/>
      <c r="BF55" s="77"/>
      <c r="BG55" s="77"/>
      <c r="BH55" s="77"/>
      <c r="BI55" s="77"/>
      <c r="BJ55">
        <v>1</v>
      </c>
      <c r="BK55" s="76" t="str">
        <f>REPLACE(INDEX(GroupVertices[Group],MATCH("~"&amp;Edges27[[#This Row],[Vertex 1]],GroupVertices[Vertex],0)),1,1,"")</f>
        <v>17</v>
      </c>
      <c r="BL55" s="76" t="str">
        <f>REPLACE(INDEX(GroupVertices[Group],MATCH("~"&amp;Edges27[[#This Row],[Vertex 2]],GroupVertices[Vertex],0)),1,1,"")</f>
        <v>17</v>
      </c>
      <c r="BM55" s="45"/>
      <c r="BN55" s="46"/>
      <c r="BO55" s="45"/>
      <c r="BP55" s="46"/>
      <c r="BQ55" s="45"/>
      <c r="BR55" s="46"/>
      <c r="BS55" s="45"/>
      <c r="BT55" s="46"/>
      <c r="BU55" s="45"/>
    </row>
    <row r="56" spans="1:73" ht="15">
      <c r="A56" s="61" t="s">
        <v>271</v>
      </c>
      <c r="B56" s="61" t="s">
        <v>271</v>
      </c>
      <c r="C56" s="62"/>
      <c r="D56" s="63"/>
      <c r="E56" s="64"/>
      <c r="F56" s="65"/>
      <c r="G56" s="62"/>
      <c r="H56" s="66"/>
      <c r="I56" s="67"/>
      <c r="J56" s="67"/>
      <c r="K56" s="31" t="s">
        <v>65</v>
      </c>
      <c r="L56" s="75">
        <v>79</v>
      </c>
      <c r="M56" s="75"/>
      <c r="N56" s="69"/>
      <c r="O56" s="77" t="s">
        <v>438</v>
      </c>
      <c r="P56" s="79">
        <v>45227.10122685185</v>
      </c>
      <c r="Q56" s="77" t="s">
        <v>494</v>
      </c>
      <c r="R56" s="77">
        <v>0</v>
      </c>
      <c r="S56" s="77">
        <v>0</v>
      </c>
      <c r="T56" s="77">
        <v>1</v>
      </c>
      <c r="U56" s="77">
        <v>0</v>
      </c>
      <c r="V56" s="77">
        <v>96</v>
      </c>
      <c r="W56" s="77"/>
      <c r="X56" s="77"/>
      <c r="Y56" s="77"/>
      <c r="Z56" s="77"/>
      <c r="AA56" s="77"/>
      <c r="AB56" s="77"/>
      <c r="AC56" s="81" t="s">
        <v>674</v>
      </c>
      <c r="AD56" s="77" t="s">
        <v>686</v>
      </c>
      <c r="AE56" s="83" t="str">
        <f>HYPERLINK("https://twitter.com/robotvirgin/status/1718091656577290258")</f>
        <v>https://twitter.com/robotvirgin/status/1718091656577290258</v>
      </c>
      <c r="AF56" s="79">
        <v>45227.10122685185</v>
      </c>
      <c r="AG56" s="85">
        <v>45227</v>
      </c>
      <c r="AH56" s="81" t="s">
        <v>739</v>
      </c>
      <c r="AI56" s="77"/>
      <c r="AJ56" s="77" t="s">
        <v>828</v>
      </c>
      <c r="AK56" s="77" t="s">
        <v>849</v>
      </c>
      <c r="AL56" s="77" t="s">
        <v>850</v>
      </c>
      <c r="AM56" s="77" t="s">
        <v>852</v>
      </c>
      <c r="AN56" s="77" t="s">
        <v>874</v>
      </c>
      <c r="AO56" s="77" t="s">
        <v>896</v>
      </c>
      <c r="AP56" s="77" t="s">
        <v>917</v>
      </c>
      <c r="AQ56" s="77"/>
      <c r="AR56" s="77"/>
      <c r="AS56" s="77"/>
      <c r="AT56" s="77"/>
      <c r="AU56" s="77"/>
      <c r="AV56" s="83" t="str">
        <f>HYPERLINK("https://pbs.twimg.com/profile_images/780984509294534656/U9r2eId9_normal.jpg")</f>
        <v>https://pbs.twimg.com/profile_images/780984509294534656/U9r2eId9_normal.jpg</v>
      </c>
      <c r="AW56" s="81" t="s">
        <v>992</v>
      </c>
      <c r="AX56" s="81" t="s">
        <v>1106</v>
      </c>
      <c r="AY56" s="81" t="s">
        <v>1170</v>
      </c>
      <c r="AZ56" s="81" t="s">
        <v>1106</v>
      </c>
      <c r="BA56" s="81" t="s">
        <v>1210</v>
      </c>
      <c r="BB56" s="81" t="s">
        <v>1210</v>
      </c>
      <c r="BC56" s="81" t="s">
        <v>1106</v>
      </c>
      <c r="BD56" s="77">
        <v>113248179</v>
      </c>
      <c r="BE56" s="77"/>
      <c r="BF56" s="77"/>
      <c r="BG56" s="77"/>
      <c r="BH56" s="77"/>
      <c r="BI56" s="77"/>
      <c r="BJ56">
        <v>1</v>
      </c>
      <c r="BK56" s="76" t="str">
        <f>REPLACE(INDEX(GroupVertices[Group],MATCH("~"&amp;Edges27[[#This Row],[Vertex 1]],GroupVertices[Vertex],0)),1,1,"")</f>
        <v>1</v>
      </c>
      <c r="BL56" s="76" t="str">
        <f>REPLACE(INDEX(GroupVertices[Group],MATCH("~"&amp;Edges27[[#This Row],[Vertex 2]],GroupVertices[Vertex],0)),1,1,"")</f>
        <v>1</v>
      </c>
      <c r="BM56" s="45">
        <v>2</v>
      </c>
      <c r="BN56" s="46">
        <v>5.555555555555555</v>
      </c>
      <c r="BO56" s="45">
        <v>2</v>
      </c>
      <c r="BP56" s="46">
        <v>5.555555555555555</v>
      </c>
      <c r="BQ56" s="45">
        <v>0</v>
      </c>
      <c r="BR56" s="46">
        <v>0</v>
      </c>
      <c r="BS56" s="45">
        <v>17</v>
      </c>
      <c r="BT56" s="46">
        <v>47.22222222222222</v>
      </c>
      <c r="BU56" s="45">
        <v>36</v>
      </c>
    </row>
    <row r="57" spans="1:73" ht="15">
      <c r="A57" s="61" t="s">
        <v>272</v>
      </c>
      <c r="B57" s="61" t="s">
        <v>382</v>
      </c>
      <c r="C57" s="62"/>
      <c r="D57" s="63"/>
      <c r="E57" s="64"/>
      <c r="F57" s="65"/>
      <c r="G57" s="62"/>
      <c r="H57" s="66"/>
      <c r="I57" s="67"/>
      <c r="J57" s="67"/>
      <c r="K57" s="31" t="s">
        <v>65</v>
      </c>
      <c r="L57" s="75">
        <v>80</v>
      </c>
      <c r="M57" s="75"/>
      <c r="N57" s="69"/>
      <c r="O57" s="77" t="s">
        <v>438</v>
      </c>
      <c r="P57" s="79">
        <v>45315.627071759256</v>
      </c>
      <c r="Q57" s="77" t="s">
        <v>495</v>
      </c>
      <c r="R57" s="77">
        <v>0</v>
      </c>
      <c r="S57" s="77">
        <v>3</v>
      </c>
      <c r="T57" s="77">
        <v>0</v>
      </c>
      <c r="U57" s="77">
        <v>0</v>
      </c>
      <c r="V57" s="77">
        <v>52</v>
      </c>
      <c r="W57" s="77"/>
      <c r="X57" s="77"/>
      <c r="Y57" s="77"/>
      <c r="Z57" s="77" t="s">
        <v>382</v>
      </c>
      <c r="AA57" s="77"/>
      <c r="AB57" s="77"/>
      <c r="AC57" s="81" t="s">
        <v>674</v>
      </c>
      <c r="AD57" s="77" t="s">
        <v>686</v>
      </c>
      <c r="AE57" s="83" t="str">
        <f>HYPERLINK("https://twitter.com/shooty_mcbooty/status/1750172350073696433")</f>
        <v>https://twitter.com/shooty_mcbooty/status/1750172350073696433</v>
      </c>
      <c r="AF57" s="79">
        <v>45315.627071759256</v>
      </c>
      <c r="AG57" s="85">
        <v>45315</v>
      </c>
      <c r="AH57" s="81" t="s">
        <v>740</v>
      </c>
      <c r="AI57" s="77"/>
      <c r="AJ57" s="77"/>
      <c r="AK57" s="77"/>
      <c r="AL57" s="77"/>
      <c r="AM57" s="77"/>
      <c r="AN57" s="77"/>
      <c r="AO57" s="77"/>
      <c r="AP57" s="77"/>
      <c r="AQ57" s="77"/>
      <c r="AR57" s="77"/>
      <c r="AS57" s="77"/>
      <c r="AT57" s="77"/>
      <c r="AU57" s="77"/>
      <c r="AV57" s="83" t="str">
        <f>HYPERLINK("https://pbs.twimg.com/profile_images/1365860689361862657/4Mg2YzeF_normal.jpg")</f>
        <v>https://pbs.twimg.com/profile_images/1365860689361862657/4Mg2YzeF_normal.jpg</v>
      </c>
      <c r="AW57" s="81" t="s">
        <v>993</v>
      </c>
      <c r="AX57" s="81" t="s">
        <v>1107</v>
      </c>
      <c r="AY57" s="81" t="s">
        <v>1171</v>
      </c>
      <c r="AZ57" s="81" t="s">
        <v>1107</v>
      </c>
      <c r="BA57" s="81" t="s">
        <v>1210</v>
      </c>
      <c r="BB57" s="81" t="s">
        <v>1210</v>
      </c>
      <c r="BC57" s="81" t="s">
        <v>1107</v>
      </c>
      <c r="BD57" s="81" t="s">
        <v>1257</v>
      </c>
      <c r="BE57" s="77"/>
      <c r="BF57" s="77"/>
      <c r="BG57" s="77"/>
      <c r="BH57" s="77"/>
      <c r="BI57" s="77"/>
      <c r="BJ57">
        <v>1</v>
      </c>
      <c r="BK57" s="76" t="str">
        <f>REPLACE(INDEX(GroupVertices[Group],MATCH("~"&amp;Edges27[[#This Row],[Vertex 1]],GroupVertices[Vertex],0)),1,1,"")</f>
        <v>53</v>
      </c>
      <c r="BL57" s="76" t="str">
        <f>REPLACE(INDEX(GroupVertices[Group],MATCH("~"&amp;Edges27[[#This Row],[Vertex 2]],GroupVertices[Vertex],0)),1,1,"")</f>
        <v>53</v>
      </c>
      <c r="BM57" s="45">
        <v>0</v>
      </c>
      <c r="BN57" s="46">
        <v>0</v>
      </c>
      <c r="BO57" s="45">
        <v>2</v>
      </c>
      <c r="BP57" s="46">
        <v>15.384615384615385</v>
      </c>
      <c r="BQ57" s="45">
        <v>0</v>
      </c>
      <c r="BR57" s="46">
        <v>0</v>
      </c>
      <c r="BS57" s="45">
        <v>6</v>
      </c>
      <c r="BT57" s="46">
        <v>46.15384615384615</v>
      </c>
      <c r="BU57" s="45">
        <v>13</v>
      </c>
    </row>
    <row r="58" spans="1:73" ht="15">
      <c r="A58" s="61" t="s">
        <v>273</v>
      </c>
      <c r="B58" s="61" t="s">
        <v>383</v>
      </c>
      <c r="C58" s="62"/>
      <c r="D58" s="63"/>
      <c r="E58" s="64"/>
      <c r="F58" s="65"/>
      <c r="G58" s="62"/>
      <c r="H58" s="66"/>
      <c r="I58" s="67"/>
      <c r="J58" s="67"/>
      <c r="K58" s="31" t="s">
        <v>65</v>
      </c>
      <c r="L58" s="75">
        <v>81</v>
      </c>
      <c r="M58" s="75"/>
      <c r="N58" s="69"/>
      <c r="O58" s="77" t="s">
        <v>438</v>
      </c>
      <c r="P58" s="79">
        <v>44976.961597222224</v>
      </c>
      <c r="Q58" s="77" t="s">
        <v>496</v>
      </c>
      <c r="R58" s="77">
        <v>0</v>
      </c>
      <c r="S58" s="77">
        <v>0</v>
      </c>
      <c r="T58" s="77">
        <v>0</v>
      </c>
      <c r="U58" s="77">
        <v>0</v>
      </c>
      <c r="V58" s="77">
        <v>171</v>
      </c>
      <c r="W58" s="77"/>
      <c r="X58" s="77"/>
      <c r="Y58" s="77"/>
      <c r="Z58" s="77" t="s">
        <v>383</v>
      </c>
      <c r="AA58" s="77"/>
      <c r="AB58" s="77"/>
      <c r="AC58" s="81" t="s">
        <v>677</v>
      </c>
      <c r="AD58" s="77" t="s">
        <v>686</v>
      </c>
      <c r="AE58" s="83" t="str">
        <f>HYPERLINK("https://twitter.com/theemsmolly/status/1627444091712831488")</f>
        <v>https://twitter.com/theemsmolly/status/1627444091712831488</v>
      </c>
      <c r="AF58" s="79">
        <v>44976.961597222224</v>
      </c>
      <c r="AG58" s="85">
        <v>44976</v>
      </c>
      <c r="AH58" s="81" t="s">
        <v>741</v>
      </c>
      <c r="AI58" s="77"/>
      <c r="AJ58" s="77" t="s">
        <v>839</v>
      </c>
      <c r="AK58" s="77" t="s">
        <v>849</v>
      </c>
      <c r="AL58" s="77" t="s">
        <v>850</v>
      </c>
      <c r="AM58" s="77" t="s">
        <v>863</v>
      </c>
      <c r="AN58" s="77" t="s">
        <v>885</v>
      </c>
      <c r="AO58" s="77" t="s">
        <v>907</v>
      </c>
      <c r="AP58" s="77" t="s">
        <v>917</v>
      </c>
      <c r="AQ58" s="77"/>
      <c r="AR58" s="77"/>
      <c r="AS58" s="77"/>
      <c r="AT58" s="77"/>
      <c r="AU58" s="77"/>
      <c r="AV58" s="83" t="str">
        <f>HYPERLINK("https://pbs.twimg.com/profile_images/1661788957552820224/HIMWkMS1_normal.jpg")</f>
        <v>https://pbs.twimg.com/profile_images/1661788957552820224/HIMWkMS1_normal.jpg</v>
      </c>
      <c r="AW58" s="81" t="s">
        <v>994</v>
      </c>
      <c r="AX58" s="81" t="s">
        <v>1108</v>
      </c>
      <c r="AY58" s="81" t="s">
        <v>1172</v>
      </c>
      <c r="AZ58" s="81" t="s">
        <v>1108</v>
      </c>
      <c r="BA58" s="81" t="s">
        <v>1210</v>
      </c>
      <c r="BB58" s="81" t="s">
        <v>1210</v>
      </c>
      <c r="BC58" s="81" t="s">
        <v>1108</v>
      </c>
      <c r="BD58" s="81" t="s">
        <v>1258</v>
      </c>
      <c r="BE58" s="77"/>
      <c r="BF58" s="77"/>
      <c r="BG58" s="77"/>
      <c r="BH58" s="77"/>
      <c r="BI58" s="77"/>
      <c r="BJ58">
        <v>1</v>
      </c>
      <c r="BK58" s="76" t="str">
        <f>REPLACE(INDEX(GroupVertices[Group],MATCH("~"&amp;Edges27[[#This Row],[Vertex 1]],GroupVertices[Vertex],0)),1,1,"")</f>
        <v>52</v>
      </c>
      <c r="BL58" s="76" t="str">
        <f>REPLACE(INDEX(GroupVertices[Group],MATCH("~"&amp;Edges27[[#This Row],[Vertex 2]],GroupVertices[Vertex],0)),1,1,"")</f>
        <v>52</v>
      </c>
      <c r="BM58" s="45">
        <v>1</v>
      </c>
      <c r="BN58" s="46">
        <v>2</v>
      </c>
      <c r="BO58" s="45">
        <v>0</v>
      </c>
      <c r="BP58" s="46">
        <v>0</v>
      </c>
      <c r="BQ58" s="45">
        <v>0</v>
      </c>
      <c r="BR58" s="46">
        <v>0</v>
      </c>
      <c r="BS58" s="45">
        <v>16</v>
      </c>
      <c r="BT58" s="46">
        <v>32</v>
      </c>
      <c r="BU58" s="45">
        <v>50</v>
      </c>
    </row>
    <row r="59" spans="1:73" ht="15">
      <c r="A59" s="61" t="s">
        <v>274</v>
      </c>
      <c r="B59" s="61" t="s">
        <v>384</v>
      </c>
      <c r="C59" s="62"/>
      <c r="D59" s="63"/>
      <c r="E59" s="64"/>
      <c r="F59" s="65"/>
      <c r="G59" s="62"/>
      <c r="H59" s="66"/>
      <c r="I59" s="67"/>
      <c r="J59" s="67"/>
      <c r="K59" s="31" t="s">
        <v>65</v>
      </c>
      <c r="L59" s="75">
        <v>82</v>
      </c>
      <c r="M59" s="75"/>
      <c r="N59" s="69"/>
      <c r="O59" s="77" t="s">
        <v>438</v>
      </c>
      <c r="P59" s="79">
        <v>45313.65594907408</v>
      </c>
      <c r="Q59" s="77" t="s">
        <v>497</v>
      </c>
      <c r="R59" s="77">
        <v>0</v>
      </c>
      <c r="S59" s="77">
        <v>1</v>
      </c>
      <c r="T59" s="77">
        <v>0</v>
      </c>
      <c r="U59" s="77">
        <v>0</v>
      </c>
      <c r="V59" s="77">
        <v>7</v>
      </c>
      <c r="W59" s="77"/>
      <c r="X59" s="77"/>
      <c r="Y59" s="77"/>
      <c r="Z59" s="77" t="s">
        <v>384</v>
      </c>
      <c r="AA59" s="77"/>
      <c r="AB59" s="77"/>
      <c r="AC59" s="81" t="s">
        <v>677</v>
      </c>
      <c r="AD59" s="77" t="s">
        <v>686</v>
      </c>
      <c r="AE59" s="83" t="str">
        <f>HYPERLINK("https://twitter.com/fauxnamerice/status/1749458037751038128")</f>
        <v>https://twitter.com/fauxnamerice/status/1749458037751038128</v>
      </c>
      <c r="AF59" s="79">
        <v>45313.65594907408</v>
      </c>
      <c r="AG59" s="85">
        <v>45313</v>
      </c>
      <c r="AH59" s="81" t="s">
        <v>742</v>
      </c>
      <c r="AI59" s="77"/>
      <c r="AJ59" s="77" t="s">
        <v>840</v>
      </c>
      <c r="AK59" s="77" t="s">
        <v>849</v>
      </c>
      <c r="AL59" s="77" t="s">
        <v>850</v>
      </c>
      <c r="AM59" s="77" t="s">
        <v>864</v>
      </c>
      <c r="AN59" s="77" t="s">
        <v>886</v>
      </c>
      <c r="AO59" s="77" t="s">
        <v>908</v>
      </c>
      <c r="AP59" s="77" t="s">
        <v>917</v>
      </c>
      <c r="AQ59" s="77"/>
      <c r="AR59" s="77"/>
      <c r="AS59" s="77"/>
      <c r="AT59" s="77"/>
      <c r="AU59" s="77"/>
      <c r="AV59" s="83" t="str">
        <f>HYPERLINK("https://pbs.twimg.com/profile_images/1470867992049172482/6ZgPwl2r_normal.jpg")</f>
        <v>https://pbs.twimg.com/profile_images/1470867992049172482/6ZgPwl2r_normal.jpg</v>
      </c>
      <c r="AW59" s="81" t="s">
        <v>995</v>
      </c>
      <c r="AX59" s="81" t="s">
        <v>1109</v>
      </c>
      <c r="AY59" s="81" t="s">
        <v>1173</v>
      </c>
      <c r="AZ59" s="81" t="s">
        <v>1109</v>
      </c>
      <c r="BA59" s="81" t="s">
        <v>1210</v>
      </c>
      <c r="BB59" s="81" t="s">
        <v>1210</v>
      </c>
      <c r="BC59" s="81" t="s">
        <v>1109</v>
      </c>
      <c r="BD59" s="77">
        <v>3193949707</v>
      </c>
      <c r="BE59" s="77"/>
      <c r="BF59" s="77"/>
      <c r="BG59" s="77"/>
      <c r="BH59" s="77"/>
      <c r="BI59" s="77"/>
      <c r="BJ59">
        <v>1</v>
      </c>
      <c r="BK59" s="76" t="str">
        <f>REPLACE(INDEX(GroupVertices[Group],MATCH("~"&amp;Edges27[[#This Row],[Vertex 1]],GroupVertices[Vertex],0)),1,1,"")</f>
        <v>51</v>
      </c>
      <c r="BL59" s="76" t="str">
        <f>REPLACE(INDEX(GroupVertices[Group],MATCH("~"&amp;Edges27[[#This Row],[Vertex 2]],GroupVertices[Vertex],0)),1,1,"")</f>
        <v>51</v>
      </c>
      <c r="BM59" s="45">
        <v>1</v>
      </c>
      <c r="BN59" s="46">
        <v>7.6923076923076925</v>
      </c>
      <c r="BO59" s="45">
        <v>2</v>
      </c>
      <c r="BP59" s="46">
        <v>15.384615384615385</v>
      </c>
      <c r="BQ59" s="45">
        <v>0</v>
      </c>
      <c r="BR59" s="46">
        <v>0</v>
      </c>
      <c r="BS59" s="45">
        <v>5</v>
      </c>
      <c r="BT59" s="46">
        <v>38.46153846153846</v>
      </c>
      <c r="BU59" s="45">
        <v>13</v>
      </c>
    </row>
    <row r="60" spans="1:73" ht="15">
      <c r="A60" s="61" t="s">
        <v>275</v>
      </c>
      <c r="B60" s="61" t="s">
        <v>385</v>
      </c>
      <c r="C60" s="62"/>
      <c r="D60" s="63"/>
      <c r="E60" s="64"/>
      <c r="F60" s="65"/>
      <c r="G60" s="62"/>
      <c r="H60" s="66"/>
      <c r="I60" s="67"/>
      <c r="J60" s="67"/>
      <c r="K60" s="31" t="s">
        <v>65</v>
      </c>
      <c r="L60" s="75">
        <v>83</v>
      </c>
      <c r="M60" s="75"/>
      <c r="N60" s="69"/>
      <c r="O60" s="77" t="s">
        <v>438</v>
      </c>
      <c r="P60" s="79">
        <v>44983.14701388889</v>
      </c>
      <c r="Q60" s="77" t="s">
        <v>498</v>
      </c>
      <c r="R60" s="77">
        <v>0</v>
      </c>
      <c r="S60" s="77">
        <v>0</v>
      </c>
      <c r="T60" s="77">
        <v>0</v>
      </c>
      <c r="U60" s="77">
        <v>0</v>
      </c>
      <c r="V60" s="77">
        <v>2</v>
      </c>
      <c r="W60" s="77"/>
      <c r="X60" s="77"/>
      <c r="Y60" s="77"/>
      <c r="Z60" s="77" t="s">
        <v>385</v>
      </c>
      <c r="AA60" s="77"/>
      <c r="AB60" s="77"/>
      <c r="AC60" s="81" t="s">
        <v>674</v>
      </c>
      <c r="AD60" s="77" t="s">
        <v>686</v>
      </c>
      <c r="AE60" s="83" t="str">
        <f>HYPERLINK("https://twitter.com/lisaandemma/status/1629685613338447872")</f>
        <v>https://twitter.com/lisaandemma/status/1629685613338447872</v>
      </c>
      <c r="AF60" s="79">
        <v>44983.14701388889</v>
      </c>
      <c r="AG60" s="85">
        <v>44983</v>
      </c>
      <c r="AH60" s="81" t="s">
        <v>743</v>
      </c>
      <c r="AI60" s="77"/>
      <c r="AJ60" s="77" t="s">
        <v>831</v>
      </c>
      <c r="AK60" s="77" t="s">
        <v>849</v>
      </c>
      <c r="AL60" s="77" t="s">
        <v>850</v>
      </c>
      <c r="AM60" s="77" t="s">
        <v>855</v>
      </c>
      <c r="AN60" s="77" t="s">
        <v>877</v>
      </c>
      <c r="AO60" s="77" t="s">
        <v>899</v>
      </c>
      <c r="AP60" s="77" t="s">
        <v>917</v>
      </c>
      <c r="AQ60" s="77"/>
      <c r="AR60" s="77"/>
      <c r="AS60" s="77"/>
      <c r="AT60" s="77"/>
      <c r="AU60" s="77"/>
      <c r="AV60" s="83" t="str">
        <f>HYPERLINK("https://pbs.twimg.com/profile_images/1578616541268312064/GHskXwz6_normal.jpg")</f>
        <v>https://pbs.twimg.com/profile_images/1578616541268312064/GHskXwz6_normal.jpg</v>
      </c>
      <c r="AW60" s="81" t="s">
        <v>996</v>
      </c>
      <c r="AX60" s="81" t="s">
        <v>1110</v>
      </c>
      <c r="AY60" s="81" t="s">
        <v>1174</v>
      </c>
      <c r="AZ60" s="81" t="s">
        <v>1110</v>
      </c>
      <c r="BA60" s="81" t="s">
        <v>1210</v>
      </c>
      <c r="BB60" s="81" t="s">
        <v>1210</v>
      </c>
      <c r="BC60" s="81" t="s">
        <v>1110</v>
      </c>
      <c r="BD60" s="81" t="s">
        <v>1259</v>
      </c>
      <c r="BE60" s="77"/>
      <c r="BF60" s="77"/>
      <c r="BG60" s="77"/>
      <c r="BH60" s="77"/>
      <c r="BI60" s="77"/>
      <c r="BJ60">
        <v>1</v>
      </c>
      <c r="BK60" s="76" t="str">
        <f>REPLACE(INDEX(GroupVertices[Group],MATCH("~"&amp;Edges27[[#This Row],[Vertex 1]],GroupVertices[Vertex],0)),1,1,"")</f>
        <v>50</v>
      </c>
      <c r="BL60" s="76" t="str">
        <f>REPLACE(INDEX(GroupVertices[Group],MATCH("~"&amp;Edges27[[#This Row],[Vertex 2]],GroupVertices[Vertex],0)),1,1,"")</f>
        <v>50</v>
      </c>
      <c r="BM60" s="45">
        <v>1</v>
      </c>
      <c r="BN60" s="46">
        <v>3.225806451612903</v>
      </c>
      <c r="BO60" s="45">
        <v>3</v>
      </c>
      <c r="BP60" s="46">
        <v>9.67741935483871</v>
      </c>
      <c r="BQ60" s="45">
        <v>0</v>
      </c>
      <c r="BR60" s="46">
        <v>0</v>
      </c>
      <c r="BS60" s="45">
        <v>9</v>
      </c>
      <c r="BT60" s="46">
        <v>29.032258064516128</v>
      </c>
      <c r="BU60" s="45">
        <v>31</v>
      </c>
    </row>
    <row r="61" spans="1:73" ht="15">
      <c r="A61" s="61" t="s">
        <v>276</v>
      </c>
      <c r="B61" s="61" t="s">
        <v>276</v>
      </c>
      <c r="C61" s="62"/>
      <c r="D61" s="63"/>
      <c r="E61" s="64"/>
      <c r="F61" s="65"/>
      <c r="G61" s="62"/>
      <c r="H61" s="66"/>
      <c r="I61" s="67"/>
      <c r="J61" s="67"/>
      <c r="K61" s="31" t="s">
        <v>65</v>
      </c>
      <c r="L61" s="75">
        <v>84</v>
      </c>
      <c r="M61" s="75"/>
      <c r="N61" s="69"/>
      <c r="O61" s="77" t="s">
        <v>178</v>
      </c>
      <c r="P61" s="79">
        <v>45315.891597222224</v>
      </c>
      <c r="Q61" s="77" t="s">
        <v>499</v>
      </c>
      <c r="R61" s="77">
        <v>0</v>
      </c>
      <c r="S61" s="77">
        <v>0</v>
      </c>
      <c r="T61" s="77">
        <v>0</v>
      </c>
      <c r="U61" s="77">
        <v>0</v>
      </c>
      <c r="V61" s="77">
        <v>12</v>
      </c>
      <c r="W61" s="77"/>
      <c r="X61" s="77"/>
      <c r="Y61" s="77"/>
      <c r="Z61" s="77"/>
      <c r="AA61" s="77"/>
      <c r="AB61" s="77"/>
      <c r="AC61" s="81" t="s">
        <v>675</v>
      </c>
      <c r="AD61" s="77" t="s">
        <v>686</v>
      </c>
      <c r="AE61" s="83" t="str">
        <f>HYPERLINK("https://twitter.com/tinastinnett007/status/1750268210950377921")</f>
        <v>https://twitter.com/tinastinnett007/status/1750268210950377921</v>
      </c>
      <c r="AF61" s="79">
        <v>45315.891597222224</v>
      </c>
      <c r="AG61" s="85">
        <v>45315</v>
      </c>
      <c r="AH61" s="81" t="s">
        <v>744</v>
      </c>
      <c r="AI61" s="77"/>
      <c r="AJ61" s="77"/>
      <c r="AK61" s="77"/>
      <c r="AL61" s="77"/>
      <c r="AM61" s="77"/>
      <c r="AN61" s="77"/>
      <c r="AO61" s="77"/>
      <c r="AP61" s="77"/>
      <c r="AQ61" s="77"/>
      <c r="AR61" s="77"/>
      <c r="AS61" s="77"/>
      <c r="AT61" s="77"/>
      <c r="AU61" s="77"/>
      <c r="AV61" s="83" t="str">
        <f>HYPERLINK("https://pbs.twimg.com/profile_images/1748991831080390656/gkpQDJCd_normal.jpg")</f>
        <v>https://pbs.twimg.com/profile_images/1748991831080390656/gkpQDJCd_normal.jpg</v>
      </c>
      <c r="AW61" s="81" t="s">
        <v>997</v>
      </c>
      <c r="AX61" s="81" t="s">
        <v>997</v>
      </c>
      <c r="AY61" s="77"/>
      <c r="AZ61" s="81" t="s">
        <v>1210</v>
      </c>
      <c r="BA61" s="81" t="s">
        <v>1210</v>
      </c>
      <c r="BB61" s="81" t="s">
        <v>1210</v>
      </c>
      <c r="BC61" s="81" t="s">
        <v>997</v>
      </c>
      <c r="BD61" s="81" t="s">
        <v>1260</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v>0</v>
      </c>
      <c r="BN61" s="46">
        <v>0</v>
      </c>
      <c r="BO61" s="45">
        <v>2</v>
      </c>
      <c r="BP61" s="46">
        <v>4.545454545454546</v>
      </c>
      <c r="BQ61" s="45">
        <v>0</v>
      </c>
      <c r="BR61" s="46">
        <v>0</v>
      </c>
      <c r="BS61" s="45">
        <v>23</v>
      </c>
      <c r="BT61" s="46">
        <v>52.27272727272727</v>
      </c>
      <c r="BU61" s="45">
        <v>44</v>
      </c>
    </row>
    <row r="62" spans="1:73" ht="15">
      <c r="A62" s="61" t="s">
        <v>277</v>
      </c>
      <c r="B62" s="61" t="s">
        <v>386</v>
      </c>
      <c r="C62" s="62"/>
      <c r="D62" s="63"/>
      <c r="E62" s="64"/>
      <c r="F62" s="65"/>
      <c r="G62" s="62"/>
      <c r="H62" s="66"/>
      <c r="I62" s="67"/>
      <c r="J62" s="67"/>
      <c r="K62" s="31" t="s">
        <v>65</v>
      </c>
      <c r="L62" s="75">
        <v>85</v>
      </c>
      <c r="M62" s="75"/>
      <c r="N62" s="69"/>
      <c r="O62" s="77" t="s">
        <v>438</v>
      </c>
      <c r="P62" s="79">
        <v>45240.30944444444</v>
      </c>
      <c r="Q62" s="77" t="s">
        <v>500</v>
      </c>
      <c r="R62" s="77">
        <v>0</v>
      </c>
      <c r="S62" s="77">
        <v>1</v>
      </c>
      <c r="T62" s="77">
        <v>0</v>
      </c>
      <c r="U62" s="77">
        <v>0</v>
      </c>
      <c r="V62" s="77">
        <v>84</v>
      </c>
      <c r="W62" s="77"/>
      <c r="X62" s="77"/>
      <c r="Y62" s="77"/>
      <c r="Z62" s="77" t="s">
        <v>386</v>
      </c>
      <c r="AA62" s="77"/>
      <c r="AB62" s="77"/>
      <c r="AC62" s="81" t="s">
        <v>674</v>
      </c>
      <c r="AD62" s="77" t="s">
        <v>686</v>
      </c>
      <c r="AE62" s="83" t="str">
        <f>HYPERLINK("https://twitter.com/pdxfanatic/status/1722878157601259996")</f>
        <v>https://twitter.com/pdxfanatic/status/1722878157601259996</v>
      </c>
      <c r="AF62" s="79">
        <v>45240.30944444444</v>
      </c>
      <c r="AG62" s="85">
        <v>45240</v>
      </c>
      <c r="AH62" s="81" t="s">
        <v>745</v>
      </c>
      <c r="AI62" s="77"/>
      <c r="AJ62" s="77" t="s">
        <v>828</v>
      </c>
      <c r="AK62" s="77" t="s">
        <v>849</v>
      </c>
      <c r="AL62" s="77" t="s">
        <v>850</v>
      </c>
      <c r="AM62" s="77" t="s">
        <v>852</v>
      </c>
      <c r="AN62" s="77" t="s">
        <v>874</v>
      </c>
      <c r="AO62" s="77" t="s">
        <v>896</v>
      </c>
      <c r="AP62" s="77" t="s">
        <v>917</v>
      </c>
      <c r="AQ62" s="77"/>
      <c r="AR62" s="77"/>
      <c r="AS62" s="77"/>
      <c r="AT62" s="77"/>
      <c r="AU62" s="77"/>
      <c r="AV62" s="83" t="str">
        <f>HYPERLINK("https://pbs.twimg.com/profile_images/1365454116282015744/plK0nNxu_normal.jpg")</f>
        <v>https://pbs.twimg.com/profile_images/1365454116282015744/plK0nNxu_normal.jpg</v>
      </c>
      <c r="AW62" s="81" t="s">
        <v>998</v>
      </c>
      <c r="AX62" s="81" t="s">
        <v>1111</v>
      </c>
      <c r="AY62" s="81" t="s">
        <v>1175</v>
      </c>
      <c r="AZ62" s="81" t="s">
        <v>1111</v>
      </c>
      <c r="BA62" s="81" t="s">
        <v>1210</v>
      </c>
      <c r="BB62" s="81" t="s">
        <v>1210</v>
      </c>
      <c r="BC62" s="81" t="s">
        <v>1111</v>
      </c>
      <c r="BD62" s="77">
        <v>76211602</v>
      </c>
      <c r="BE62" s="77"/>
      <c r="BF62" s="77"/>
      <c r="BG62" s="77"/>
      <c r="BH62" s="77"/>
      <c r="BI62" s="77"/>
      <c r="BJ62">
        <v>1</v>
      </c>
      <c r="BK62" s="76" t="str">
        <f>REPLACE(INDEX(GroupVertices[Group],MATCH("~"&amp;Edges27[[#This Row],[Vertex 1]],GroupVertices[Vertex],0)),1,1,"")</f>
        <v>49</v>
      </c>
      <c r="BL62" s="76" t="str">
        <f>REPLACE(INDEX(GroupVertices[Group],MATCH("~"&amp;Edges27[[#This Row],[Vertex 2]],GroupVertices[Vertex],0)),1,1,"")</f>
        <v>49</v>
      </c>
      <c r="BM62" s="45">
        <v>1</v>
      </c>
      <c r="BN62" s="46">
        <v>2.4390243902439024</v>
      </c>
      <c r="BO62" s="45">
        <v>4</v>
      </c>
      <c r="BP62" s="46">
        <v>9.75609756097561</v>
      </c>
      <c r="BQ62" s="45">
        <v>0</v>
      </c>
      <c r="BR62" s="46">
        <v>0</v>
      </c>
      <c r="BS62" s="45">
        <v>14</v>
      </c>
      <c r="BT62" s="46">
        <v>34.146341463414636</v>
      </c>
      <c r="BU62" s="45">
        <v>41</v>
      </c>
    </row>
    <row r="63" spans="1:73" ht="15">
      <c r="A63" s="61" t="s">
        <v>278</v>
      </c>
      <c r="B63" s="61" t="s">
        <v>294</v>
      </c>
      <c r="C63" s="62"/>
      <c r="D63" s="63"/>
      <c r="E63" s="64"/>
      <c r="F63" s="65"/>
      <c r="G63" s="62"/>
      <c r="H63" s="66"/>
      <c r="I63" s="67"/>
      <c r="J63" s="67"/>
      <c r="K63" s="31" t="s">
        <v>65</v>
      </c>
      <c r="L63" s="75">
        <v>86</v>
      </c>
      <c r="M63" s="75"/>
      <c r="N63" s="69"/>
      <c r="O63" s="77" t="s">
        <v>439</v>
      </c>
      <c r="P63" s="79">
        <v>45021.75048611111</v>
      </c>
      <c r="Q63" s="77" t="s">
        <v>501</v>
      </c>
      <c r="R63" s="77">
        <v>0</v>
      </c>
      <c r="S63" s="77">
        <v>0</v>
      </c>
      <c r="T63" s="77">
        <v>1</v>
      </c>
      <c r="U63" s="77">
        <v>0</v>
      </c>
      <c r="V63" s="77">
        <v>394</v>
      </c>
      <c r="W63" s="81" t="s">
        <v>589</v>
      </c>
      <c r="X63" s="77"/>
      <c r="Y63" s="77"/>
      <c r="Z63" s="77"/>
      <c r="AA63" s="77"/>
      <c r="AB63" s="77"/>
      <c r="AC63" s="81" t="s">
        <v>677</v>
      </c>
      <c r="AD63" s="77" t="s">
        <v>686</v>
      </c>
      <c r="AE63" s="83" t="str">
        <f>HYPERLINK("https://twitter.com/w7enk/status/1643675040540684288")</f>
        <v>https://twitter.com/w7enk/status/1643675040540684288</v>
      </c>
      <c r="AF63" s="79">
        <v>45021.75048611111</v>
      </c>
      <c r="AG63" s="85">
        <v>45021</v>
      </c>
      <c r="AH63" s="81" t="s">
        <v>746</v>
      </c>
      <c r="AI63" s="77"/>
      <c r="AJ63" s="77" t="s">
        <v>841</v>
      </c>
      <c r="AK63" s="77" t="s">
        <v>849</v>
      </c>
      <c r="AL63" s="77" t="s">
        <v>850</v>
      </c>
      <c r="AM63" s="77" t="s">
        <v>865</v>
      </c>
      <c r="AN63" s="86" t="s">
        <v>887</v>
      </c>
      <c r="AO63" s="77" t="s">
        <v>909</v>
      </c>
      <c r="AP63" s="77" t="s">
        <v>917</v>
      </c>
      <c r="AQ63" s="77"/>
      <c r="AR63" s="77"/>
      <c r="AS63" s="77"/>
      <c r="AT63" s="77"/>
      <c r="AU63" s="77"/>
      <c r="AV63" s="83" t="str">
        <f>HYPERLINK("https://pbs.twimg.com/profile_images/1732624555796221952/H6U0Es58_normal.jpg")</f>
        <v>https://pbs.twimg.com/profile_images/1732624555796221952/H6U0Es58_normal.jpg</v>
      </c>
      <c r="AW63" s="81" t="s">
        <v>999</v>
      </c>
      <c r="AX63" s="81" t="s">
        <v>999</v>
      </c>
      <c r="AY63" s="77"/>
      <c r="AZ63" s="81" t="s">
        <v>1210</v>
      </c>
      <c r="BA63" s="81" t="s">
        <v>1019</v>
      </c>
      <c r="BB63" s="81" t="s">
        <v>1210</v>
      </c>
      <c r="BC63" s="81" t="s">
        <v>1019</v>
      </c>
      <c r="BD63" s="81" t="s">
        <v>1261</v>
      </c>
      <c r="BE63" s="77"/>
      <c r="BF63" s="77"/>
      <c r="BG63" s="77"/>
      <c r="BH63" s="77"/>
      <c r="BI63" s="77"/>
      <c r="BJ63">
        <v>1</v>
      </c>
      <c r="BK63" s="76" t="str">
        <f>REPLACE(INDEX(GroupVertices[Group],MATCH("~"&amp;Edges27[[#This Row],[Vertex 1]],GroupVertices[Vertex],0)),1,1,"")</f>
        <v>48</v>
      </c>
      <c r="BL63" s="76" t="str">
        <f>REPLACE(INDEX(GroupVertices[Group],MATCH("~"&amp;Edges27[[#This Row],[Vertex 2]],GroupVertices[Vertex],0)),1,1,"")</f>
        <v>48</v>
      </c>
      <c r="BM63" s="45">
        <v>1</v>
      </c>
      <c r="BN63" s="46">
        <v>2.127659574468085</v>
      </c>
      <c r="BO63" s="45">
        <v>3</v>
      </c>
      <c r="BP63" s="46">
        <v>6.382978723404255</v>
      </c>
      <c r="BQ63" s="45">
        <v>0</v>
      </c>
      <c r="BR63" s="46">
        <v>0</v>
      </c>
      <c r="BS63" s="45">
        <v>22</v>
      </c>
      <c r="BT63" s="46">
        <v>46.808510638297875</v>
      </c>
      <c r="BU63" s="45">
        <v>47</v>
      </c>
    </row>
    <row r="64" spans="1:73" ht="15">
      <c r="A64" s="61" t="s">
        <v>279</v>
      </c>
      <c r="B64" s="61" t="s">
        <v>387</v>
      </c>
      <c r="C64" s="62"/>
      <c r="D64" s="63"/>
      <c r="E64" s="64"/>
      <c r="F64" s="65"/>
      <c r="G64" s="62"/>
      <c r="H64" s="66"/>
      <c r="I64" s="67"/>
      <c r="J64" s="67"/>
      <c r="K64" s="31" t="s">
        <v>65</v>
      </c>
      <c r="L64" s="75">
        <v>87</v>
      </c>
      <c r="M64" s="75"/>
      <c r="N64" s="69"/>
      <c r="O64" s="77" t="s">
        <v>438</v>
      </c>
      <c r="P64" s="79">
        <v>45211.72277777778</v>
      </c>
      <c r="Q64" s="77" t="s">
        <v>502</v>
      </c>
      <c r="R64" s="77">
        <v>0</v>
      </c>
      <c r="S64" s="77">
        <v>0</v>
      </c>
      <c r="T64" s="77">
        <v>0</v>
      </c>
      <c r="U64" s="77">
        <v>0</v>
      </c>
      <c r="V64" s="77">
        <v>13</v>
      </c>
      <c r="W64" s="77"/>
      <c r="X64" s="77"/>
      <c r="Y64" s="77"/>
      <c r="Z64" s="77" t="s">
        <v>387</v>
      </c>
      <c r="AA64" s="77"/>
      <c r="AB64" s="77"/>
      <c r="AC64" s="81" t="s">
        <v>674</v>
      </c>
      <c r="AD64" s="77" t="s">
        <v>686</v>
      </c>
      <c r="AE64" s="83" t="str">
        <f>HYPERLINK("https://twitter.com/xsandman00/status/1712518692662292874")</f>
        <v>https://twitter.com/xsandman00/status/1712518692662292874</v>
      </c>
      <c r="AF64" s="79">
        <v>45211.72277777778</v>
      </c>
      <c r="AG64" s="85">
        <v>45211</v>
      </c>
      <c r="AH64" s="81" t="s">
        <v>747</v>
      </c>
      <c r="AI64" s="77"/>
      <c r="AJ64" s="77" t="s">
        <v>828</v>
      </c>
      <c r="AK64" s="77" t="s">
        <v>849</v>
      </c>
      <c r="AL64" s="77" t="s">
        <v>850</v>
      </c>
      <c r="AM64" s="77" t="s">
        <v>852</v>
      </c>
      <c r="AN64" s="77" t="s">
        <v>874</v>
      </c>
      <c r="AO64" s="77" t="s">
        <v>896</v>
      </c>
      <c r="AP64" s="77" t="s">
        <v>917</v>
      </c>
      <c r="AQ64" s="77"/>
      <c r="AR64" s="77"/>
      <c r="AS64" s="77"/>
      <c r="AT64" s="77"/>
      <c r="AU64" s="77"/>
      <c r="AV64" s="83" t="str">
        <f>HYPERLINK("https://abs.twimg.com/sticky/default_profile_images/default_profile_normal.png")</f>
        <v>https://abs.twimg.com/sticky/default_profile_images/default_profile_normal.png</v>
      </c>
      <c r="AW64" s="81" t="s">
        <v>1000</v>
      </c>
      <c r="AX64" s="81" t="s">
        <v>1112</v>
      </c>
      <c r="AY64" s="81" t="s">
        <v>1176</v>
      </c>
      <c r="AZ64" s="81" t="s">
        <v>1112</v>
      </c>
      <c r="BA64" s="81" t="s">
        <v>1210</v>
      </c>
      <c r="BB64" s="81" t="s">
        <v>1210</v>
      </c>
      <c r="BC64" s="81" t="s">
        <v>1112</v>
      </c>
      <c r="BD64" s="81" t="s">
        <v>1262</v>
      </c>
      <c r="BE64" s="77"/>
      <c r="BF64" s="77"/>
      <c r="BG64" s="77"/>
      <c r="BH64" s="77"/>
      <c r="BI64" s="77"/>
      <c r="BJ64">
        <v>1</v>
      </c>
      <c r="BK64" s="76" t="str">
        <f>REPLACE(INDEX(GroupVertices[Group],MATCH("~"&amp;Edges27[[#This Row],[Vertex 1]],GroupVertices[Vertex],0)),1,1,"")</f>
        <v>47</v>
      </c>
      <c r="BL64" s="76" t="str">
        <f>REPLACE(INDEX(GroupVertices[Group],MATCH("~"&amp;Edges27[[#This Row],[Vertex 2]],GroupVertices[Vertex],0)),1,1,"")</f>
        <v>47</v>
      </c>
      <c r="BM64" s="45">
        <v>0</v>
      </c>
      <c r="BN64" s="46">
        <v>0</v>
      </c>
      <c r="BO64" s="45">
        <v>4</v>
      </c>
      <c r="BP64" s="46">
        <v>9.30232558139535</v>
      </c>
      <c r="BQ64" s="45">
        <v>0</v>
      </c>
      <c r="BR64" s="46">
        <v>0</v>
      </c>
      <c r="BS64" s="45">
        <v>21</v>
      </c>
      <c r="BT64" s="46">
        <v>48.83720930232558</v>
      </c>
      <c r="BU64" s="45">
        <v>43</v>
      </c>
    </row>
    <row r="65" spans="1:73" ht="15">
      <c r="A65" s="61" t="s">
        <v>280</v>
      </c>
      <c r="B65" s="61" t="s">
        <v>280</v>
      </c>
      <c r="C65" s="62"/>
      <c r="D65" s="63"/>
      <c r="E65" s="64"/>
      <c r="F65" s="65"/>
      <c r="G65" s="62"/>
      <c r="H65" s="66"/>
      <c r="I65" s="67"/>
      <c r="J65" s="67"/>
      <c r="K65" s="31" t="s">
        <v>65</v>
      </c>
      <c r="L65" s="75">
        <v>88</v>
      </c>
      <c r="M65" s="75"/>
      <c r="N65" s="69"/>
      <c r="O65" s="77" t="s">
        <v>178</v>
      </c>
      <c r="P65" s="79">
        <v>45317.14701388889</v>
      </c>
      <c r="Q65" s="77" t="s">
        <v>503</v>
      </c>
      <c r="R65" s="77">
        <v>12401</v>
      </c>
      <c r="S65" s="77">
        <v>87379</v>
      </c>
      <c r="T65" s="77">
        <v>213</v>
      </c>
      <c r="U65" s="77">
        <v>251</v>
      </c>
      <c r="V65" s="77">
        <v>2858236</v>
      </c>
      <c r="W65" s="77"/>
      <c r="X65" s="77"/>
      <c r="Y65" s="77"/>
      <c r="Z65" s="77"/>
      <c r="AA65" s="77"/>
      <c r="AB65" s="77"/>
      <c r="AC65" s="81" t="s">
        <v>674</v>
      </c>
      <c r="AD65" s="77" t="s">
        <v>686</v>
      </c>
      <c r="AE65" s="83" t="str">
        <f>HYPERLINK("https://twitter.com/em1liath/status/1750723160238870792")</f>
        <v>https://twitter.com/em1liath/status/1750723160238870792</v>
      </c>
      <c r="AF65" s="79">
        <v>45317.14701388889</v>
      </c>
      <c r="AG65" s="85">
        <v>45317</v>
      </c>
      <c r="AH65" s="81" t="s">
        <v>743</v>
      </c>
      <c r="AI65" s="77"/>
      <c r="AJ65" s="77"/>
      <c r="AK65" s="77"/>
      <c r="AL65" s="77"/>
      <c r="AM65" s="77"/>
      <c r="AN65" s="77"/>
      <c r="AO65" s="77"/>
      <c r="AP65" s="77"/>
      <c r="AQ65" s="77"/>
      <c r="AR65" s="77"/>
      <c r="AS65" s="77"/>
      <c r="AT65" s="77"/>
      <c r="AU65" s="77"/>
      <c r="AV65" s="83" t="str">
        <f>HYPERLINK("https://pbs.twimg.com/profile_images/1727128514409668608/YWC9OKuQ_normal.jpg")</f>
        <v>https://pbs.twimg.com/profile_images/1727128514409668608/YWC9OKuQ_normal.jpg</v>
      </c>
      <c r="AW65" s="81" t="s">
        <v>1001</v>
      </c>
      <c r="AX65" s="81" t="s">
        <v>1001</v>
      </c>
      <c r="AY65" s="77"/>
      <c r="AZ65" s="81" t="s">
        <v>1210</v>
      </c>
      <c r="BA65" s="81" t="s">
        <v>1210</v>
      </c>
      <c r="BB65" s="81" t="s">
        <v>1210</v>
      </c>
      <c r="BC65" s="81" t="s">
        <v>1001</v>
      </c>
      <c r="BD65" s="81" t="s">
        <v>1263</v>
      </c>
      <c r="BE65" s="77"/>
      <c r="BF65" s="77"/>
      <c r="BG65" s="77"/>
      <c r="BH65" s="77"/>
      <c r="BI65" s="77"/>
      <c r="BJ65">
        <v>1</v>
      </c>
      <c r="BK65" s="76" t="str">
        <f>REPLACE(INDEX(GroupVertices[Group],MATCH("~"&amp;Edges27[[#This Row],[Vertex 1]],GroupVertices[Vertex],0)),1,1,"")</f>
        <v>61</v>
      </c>
      <c r="BL65" s="76" t="str">
        <f>REPLACE(INDEX(GroupVertices[Group],MATCH("~"&amp;Edges27[[#This Row],[Vertex 2]],GroupVertices[Vertex],0)),1,1,"")</f>
        <v>61</v>
      </c>
      <c r="BM65" s="45">
        <v>1</v>
      </c>
      <c r="BN65" s="46">
        <v>2.5641025641025643</v>
      </c>
      <c r="BO65" s="45">
        <v>2</v>
      </c>
      <c r="BP65" s="46">
        <v>5.128205128205129</v>
      </c>
      <c r="BQ65" s="45">
        <v>0</v>
      </c>
      <c r="BR65" s="46">
        <v>0</v>
      </c>
      <c r="BS65" s="45">
        <v>14</v>
      </c>
      <c r="BT65" s="46">
        <v>35.8974358974359</v>
      </c>
      <c r="BU65" s="45">
        <v>39</v>
      </c>
    </row>
    <row r="66" spans="1:73" ht="15">
      <c r="A66" s="61" t="s">
        <v>281</v>
      </c>
      <c r="B66" s="61" t="s">
        <v>281</v>
      </c>
      <c r="C66" s="62"/>
      <c r="D66" s="63"/>
      <c r="E66" s="64"/>
      <c r="F66" s="65"/>
      <c r="G66" s="62"/>
      <c r="H66" s="66"/>
      <c r="I66" s="67"/>
      <c r="J66" s="67"/>
      <c r="K66" s="31" t="s">
        <v>65</v>
      </c>
      <c r="L66" s="75">
        <v>89</v>
      </c>
      <c r="M66" s="75"/>
      <c r="N66" s="69"/>
      <c r="O66" s="77" t="s">
        <v>178</v>
      </c>
      <c r="P66" s="79">
        <v>45152.23305555555</v>
      </c>
      <c r="Q66" s="77" t="s">
        <v>504</v>
      </c>
      <c r="R66" s="77">
        <v>0</v>
      </c>
      <c r="S66" s="77">
        <v>0</v>
      </c>
      <c r="T66" s="77">
        <v>0</v>
      </c>
      <c r="U66" s="77">
        <v>0</v>
      </c>
      <c r="V66" s="77">
        <v>64</v>
      </c>
      <c r="W66" s="77"/>
      <c r="X66" s="83" t="str">
        <f>HYPERLINK("https://wapo.st/45mSV1C")</f>
        <v>https://wapo.st/45mSV1C</v>
      </c>
      <c r="Y66" s="77" t="s">
        <v>609</v>
      </c>
      <c r="Z66" s="77"/>
      <c r="AA66" s="77"/>
      <c r="AB66" s="77"/>
      <c r="AC66" s="81" t="s">
        <v>677</v>
      </c>
      <c r="AD66" s="77" t="s">
        <v>686</v>
      </c>
      <c r="AE66" s="83" t="str">
        <f>HYPERLINK("https://twitter.com/herlihy_f/status/1690960342959132672")</f>
        <v>https://twitter.com/herlihy_f/status/1690960342959132672</v>
      </c>
      <c r="AF66" s="79">
        <v>45152.23305555555</v>
      </c>
      <c r="AG66" s="85">
        <v>45152</v>
      </c>
      <c r="AH66" s="81" t="s">
        <v>748</v>
      </c>
      <c r="AI66" s="77" t="b">
        <v>0</v>
      </c>
      <c r="AJ66" s="77" t="s">
        <v>828</v>
      </c>
      <c r="AK66" s="77" t="s">
        <v>849</v>
      </c>
      <c r="AL66" s="77" t="s">
        <v>850</v>
      </c>
      <c r="AM66" s="77" t="s">
        <v>852</v>
      </c>
      <c r="AN66" s="77" t="s">
        <v>874</v>
      </c>
      <c r="AO66" s="77" t="s">
        <v>896</v>
      </c>
      <c r="AP66" s="77" t="s">
        <v>917</v>
      </c>
      <c r="AQ66" s="77"/>
      <c r="AR66" s="77"/>
      <c r="AS66" s="77"/>
      <c r="AT66" s="77"/>
      <c r="AU66" s="77"/>
      <c r="AV66" s="83" t="str">
        <f>HYPERLINK("https://pbs.twimg.com/profile_images/1534476395639762944/oAWLsEnn_normal.jpg")</f>
        <v>https://pbs.twimg.com/profile_images/1534476395639762944/oAWLsEnn_normal.jpg</v>
      </c>
      <c r="AW66" s="81" t="s">
        <v>1002</v>
      </c>
      <c r="AX66" s="81" t="s">
        <v>1002</v>
      </c>
      <c r="AY66" s="77"/>
      <c r="AZ66" s="81" t="s">
        <v>1210</v>
      </c>
      <c r="BA66" s="81" t="s">
        <v>1210</v>
      </c>
      <c r="BB66" s="81" t="s">
        <v>1210</v>
      </c>
      <c r="BC66" s="81" t="s">
        <v>1002</v>
      </c>
      <c r="BD66" s="81" t="s">
        <v>1264</v>
      </c>
      <c r="BE66" s="77"/>
      <c r="BF66" s="77"/>
      <c r="BG66" s="77"/>
      <c r="BH66" s="77"/>
      <c r="BI66" s="77"/>
      <c r="BJ66">
        <v>3</v>
      </c>
      <c r="BK66" s="76" t="str">
        <f>REPLACE(INDEX(GroupVertices[Group],MATCH("~"&amp;Edges27[[#This Row],[Vertex 1]],GroupVertices[Vertex],0)),1,1,"")</f>
        <v>1</v>
      </c>
      <c r="BL66" s="76" t="str">
        <f>REPLACE(INDEX(GroupVertices[Group],MATCH("~"&amp;Edges27[[#This Row],[Vertex 2]],GroupVertices[Vertex],0)),1,1,"")</f>
        <v>1</v>
      </c>
      <c r="BM66" s="45">
        <v>0</v>
      </c>
      <c r="BN66" s="46">
        <v>0</v>
      </c>
      <c r="BO66" s="45">
        <v>2</v>
      </c>
      <c r="BP66" s="46">
        <v>13.333333333333334</v>
      </c>
      <c r="BQ66" s="45">
        <v>0</v>
      </c>
      <c r="BR66" s="46">
        <v>0</v>
      </c>
      <c r="BS66" s="45">
        <v>9</v>
      </c>
      <c r="BT66" s="46">
        <v>60</v>
      </c>
      <c r="BU66" s="45">
        <v>15</v>
      </c>
    </row>
    <row r="67" spans="1:73" ht="15">
      <c r="A67" s="61" t="s">
        <v>281</v>
      </c>
      <c r="B67" s="61" t="s">
        <v>281</v>
      </c>
      <c r="C67" s="62"/>
      <c r="D67" s="63"/>
      <c r="E67" s="64"/>
      <c r="F67" s="65"/>
      <c r="G67" s="62"/>
      <c r="H67" s="66"/>
      <c r="I67" s="67"/>
      <c r="J67" s="67"/>
      <c r="K67" s="31" t="s">
        <v>65</v>
      </c>
      <c r="L67" s="75">
        <v>90</v>
      </c>
      <c r="M67" s="75"/>
      <c r="N67" s="69"/>
      <c r="O67" s="77" t="s">
        <v>178</v>
      </c>
      <c r="P67" s="79">
        <v>45236.614270833335</v>
      </c>
      <c r="Q67" s="77" t="s">
        <v>505</v>
      </c>
      <c r="R67" s="77">
        <v>0</v>
      </c>
      <c r="S67" s="77">
        <v>0</v>
      </c>
      <c r="T67" s="77">
        <v>0</v>
      </c>
      <c r="U67" s="77">
        <v>0</v>
      </c>
      <c r="V67" s="77">
        <v>42</v>
      </c>
      <c r="W67" s="77"/>
      <c r="X67" s="83" t="str">
        <f>HYPERLINK("https://www.washingtonpost.com/world/2023/11/06/israel-hamas-war-gaza-news-palestine/")</f>
        <v>https://www.washingtonpost.com/world/2023/11/06/israel-hamas-war-gaza-news-palestine/</v>
      </c>
      <c r="Y67" s="77" t="s">
        <v>610</v>
      </c>
      <c r="Z67" s="77"/>
      <c r="AA67" s="77"/>
      <c r="AB67" s="77"/>
      <c r="AC67" s="81" t="s">
        <v>677</v>
      </c>
      <c r="AD67" s="77" t="s">
        <v>686</v>
      </c>
      <c r="AE67" s="83" t="str">
        <f>HYPERLINK("https://twitter.com/herlihy_f/status/1721539068994220319")</f>
        <v>https://twitter.com/herlihy_f/status/1721539068994220319</v>
      </c>
      <c r="AF67" s="79">
        <v>45236.614270833335</v>
      </c>
      <c r="AG67" s="85">
        <v>45236</v>
      </c>
      <c r="AH67" s="81" t="s">
        <v>749</v>
      </c>
      <c r="AI67" s="77" t="b">
        <v>0</v>
      </c>
      <c r="AJ67" s="77" t="s">
        <v>828</v>
      </c>
      <c r="AK67" s="77" t="s">
        <v>849</v>
      </c>
      <c r="AL67" s="77" t="s">
        <v>850</v>
      </c>
      <c r="AM67" s="77" t="s">
        <v>852</v>
      </c>
      <c r="AN67" s="77" t="s">
        <v>874</v>
      </c>
      <c r="AO67" s="77" t="s">
        <v>896</v>
      </c>
      <c r="AP67" s="77" t="s">
        <v>917</v>
      </c>
      <c r="AQ67" s="77"/>
      <c r="AR67" s="77"/>
      <c r="AS67" s="77"/>
      <c r="AT67" s="77"/>
      <c r="AU67" s="77"/>
      <c r="AV67" s="83" t="str">
        <f>HYPERLINK("https://pbs.twimg.com/profile_images/1534476395639762944/oAWLsEnn_normal.jpg")</f>
        <v>https://pbs.twimg.com/profile_images/1534476395639762944/oAWLsEnn_normal.jpg</v>
      </c>
      <c r="AW67" s="81" t="s">
        <v>1003</v>
      </c>
      <c r="AX67" s="81" t="s">
        <v>1003</v>
      </c>
      <c r="AY67" s="77"/>
      <c r="AZ67" s="81" t="s">
        <v>1210</v>
      </c>
      <c r="BA67" s="81" t="s">
        <v>1210</v>
      </c>
      <c r="BB67" s="81" t="s">
        <v>1210</v>
      </c>
      <c r="BC67" s="81" t="s">
        <v>1003</v>
      </c>
      <c r="BD67" s="81" t="s">
        <v>1264</v>
      </c>
      <c r="BE67" s="77"/>
      <c r="BF67" s="77"/>
      <c r="BG67" s="77"/>
      <c r="BH67" s="77"/>
      <c r="BI67" s="77"/>
      <c r="BJ67">
        <v>3</v>
      </c>
      <c r="BK67" s="76" t="str">
        <f>REPLACE(INDEX(GroupVertices[Group],MATCH("~"&amp;Edges27[[#This Row],[Vertex 1]],GroupVertices[Vertex],0)),1,1,"")</f>
        <v>1</v>
      </c>
      <c r="BL67" s="76" t="str">
        <f>REPLACE(INDEX(GroupVertices[Group],MATCH("~"&amp;Edges27[[#This Row],[Vertex 2]],GroupVertices[Vertex],0)),1,1,"")</f>
        <v>1</v>
      </c>
      <c r="BM67" s="45">
        <v>0</v>
      </c>
      <c r="BN67" s="46">
        <v>0</v>
      </c>
      <c r="BO67" s="45">
        <v>2</v>
      </c>
      <c r="BP67" s="46">
        <v>10</v>
      </c>
      <c r="BQ67" s="45">
        <v>0</v>
      </c>
      <c r="BR67" s="46">
        <v>0</v>
      </c>
      <c r="BS67" s="45">
        <v>16</v>
      </c>
      <c r="BT67" s="46">
        <v>80</v>
      </c>
      <c r="BU67" s="45">
        <v>20</v>
      </c>
    </row>
    <row r="68" spans="1:73" ht="15">
      <c r="A68" s="61" t="s">
        <v>281</v>
      </c>
      <c r="B68" s="61" t="s">
        <v>281</v>
      </c>
      <c r="C68" s="62"/>
      <c r="D68" s="63"/>
      <c r="E68" s="64"/>
      <c r="F68" s="65"/>
      <c r="G68" s="62"/>
      <c r="H68" s="66"/>
      <c r="I68" s="67"/>
      <c r="J68" s="67"/>
      <c r="K68" s="31" t="s">
        <v>65</v>
      </c>
      <c r="L68" s="75">
        <v>91</v>
      </c>
      <c r="M68" s="75"/>
      <c r="N68" s="69"/>
      <c r="O68" s="77" t="s">
        <v>178</v>
      </c>
      <c r="P68" s="79">
        <v>45236.614120370374</v>
      </c>
      <c r="Q68" s="77" t="s">
        <v>505</v>
      </c>
      <c r="R68" s="77">
        <v>0</v>
      </c>
      <c r="S68" s="77">
        <v>1</v>
      </c>
      <c r="T68" s="77">
        <v>0</v>
      </c>
      <c r="U68" s="77">
        <v>0</v>
      </c>
      <c r="V68" s="77">
        <v>34</v>
      </c>
      <c r="W68" s="77"/>
      <c r="X68" s="83" t="str">
        <f>HYPERLINK("https://www.washingtonpost.com/world/2023/11/06/israel-hamas-war-gaza-news-palestine/")</f>
        <v>https://www.washingtonpost.com/world/2023/11/06/israel-hamas-war-gaza-news-palestine/</v>
      </c>
      <c r="Y68" s="77" t="s">
        <v>610</v>
      </c>
      <c r="Z68" s="77"/>
      <c r="AA68" s="77"/>
      <c r="AB68" s="77"/>
      <c r="AC68" s="81" t="s">
        <v>677</v>
      </c>
      <c r="AD68" s="77" t="s">
        <v>686</v>
      </c>
      <c r="AE68" s="83" t="str">
        <f>HYPERLINK("https://twitter.com/herlihy_f/status/1721539015890092379")</f>
        <v>https://twitter.com/herlihy_f/status/1721539015890092379</v>
      </c>
      <c r="AF68" s="79">
        <v>45236.614120370374</v>
      </c>
      <c r="AG68" s="85">
        <v>45236</v>
      </c>
      <c r="AH68" s="81" t="s">
        <v>750</v>
      </c>
      <c r="AI68" s="77" t="b">
        <v>0</v>
      </c>
      <c r="AJ68" s="77" t="s">
        <v>828</v>
      </c>
      <c r="AK68" s="77" t="s">
        <v>849</v>
      </c>
      <c r="AL68" s="77" t="s">
        <v>850</v>
      </c>
      <c r="AM68" s="77" t="s">
        <v>852</v>
      </c>
      <c r="AN68" s="77" t="s">
        <v>874</v>
      </c>
      <c r="AO68" s="77" t="s">
        <v>896</v>
      </c>
      <c r="AP68" s="77" t="s">
        <v>917</v>
      </c>
      <c r="AQ68" s="77"/>
      <c r="AR68" s="77"/>
      <c r="AS68" s="77"/>
      <c r="AT68" s="77"/>
      <c r="AU68" s="77"/>
      <c r="AV68" s="83" t="str">
        <f>HYPERLINK("https://pbs.twimg.com/profile_images/1534476395639762944/oAWLsEnn_normal.jpg")</f>
        <v>https://pbs.twimg.com/profile_images/1534476395639762944/oAWLsEnn_normal.jpg</v>
      </c>
      <c r="AW68" s="81" t="s">
        <v>1004</v>
      </c>
      <c r="AX68" s="81" t="s">
        <v>1004</v>
      </c>
      <c r="AY68" s="77"/>
      <c r="AZ68" s="81" t="s">
        <v>1210</v>
      </c>
      <c r="BA68" s="81" t="s">
        <v>1210</v>
      </c>
      <c r="BB68" s="81" t="s">
        <v>1210</v>
      </c>
      <c r="BC68" s="81" t="s">
        <v>1004</v>
      </c>
      <c r="BD68" s="81" t="s">
        <v>1264</v>
      </c>
      <c r="BE68" s="77"/>
      <c r="BF68" s="77"/>
      <c r="BG68" s="77"/>
      <c r="BH68" s="77"/>
      <c r="BI68" s="77"/>
      <c r="BJ68">
        <v>3</v>
      </c>
      <c r="BK68" s="76" t="str">
        <f>REPLACE(INDEX(GroupVertices[Group],MATCH("~"&amp;Edges27[[#This Row],[Vertex 1]],GroupVertices[Vertex],0)),1,1,"")</f>
        <v>1</v>
      </c>
      <c r="BL68" s="76" t="str">
        <f>REPLACE(INDEX(GroupVertices[Group],MATCH("~"&amp;Edges27[[#This Row],[Vertex 2]],GroupVertices[Vertex],0)),1,1,"")</f>
        <v>1</v>
      </c>
      <c r="BM68" s="45">
        <v>0</v>
      </c>
      <c r="BN68" s="46">
        <v>0</v>
      </c>
      <c r="BO68" s="45">
        <v>2</v>
      </c>
      <c r="BP68" s="46">
        <v>10</v>
      </c>
      <c r="BQ68" s="45">
        <v>0</v>
      </c>
      <c r="BR68" s="46">
        <v>0</v>
      </c>
      <c r="BS68" s="45">
        <v>16</v>
      </c>
      <c r="BT68" s="46">
        <v>80</v>
      </c>
      <c r="BU68" s="45">
        <v>20</v>
      </c>
    </row>
    <row r="69" spans="1:73" ht="15">
      <c r="A69" s="61" t="s">
        <v>282</v>
      </c>
      <c r="B69" s="61" t="s">
        <v>388</v>
      </c>
      <c r="C69" s="62"/>
      <c r="D69" s="63"/>
      <c r="E69" s="64"/>
      <c r="F69" s="65"/>
      <c r="G69" s="62"/>
      <c r="H69" s="66"/>
      <c r="I69" s="67"/>
      <c r="J69" s="67"/>
      <c r="K69" s="31" t="s">
        <v>65</v>
      </c>
      <c r="L69" s="75">
        <v>92</v>
      </c>
      <c r="M69" s="75"/>
      <c r="N69" s="69"/>
      <c r="O69" s="77" t="s">
        <v>438</v>
      </c>
      <c r="P69" s="79">
        <v>45319.89733796296</v>
      </c>
      <c r="Q69" s="77" t="s">
        <v>506</v>
      </c>
      <c r="R69" s="77">
        <v>0</v>
      </c>
      <c r="S69" s="77">
        <v>3</v>
      </c>
      <c r="T69" s="77">
        <v>1</v>
      </c>
      <c r="U69" s="77">
        <v>0</v>
      </c>
      <c r="V69" s="77">
        <v>135</v>
      </c>
      <c r="W69" s="77"/>
      <c r="X69" s="77"/>
      <c r="Y69" s="77"/>
      <c r="Z69" s="77" t="s">
        <v>388</v>
      </c>
      <c r="AA69" s="77"/>
      <c r="AB69" s="77"/>
      <c r="AC69" s="81" t="s">
        <v>675</v>
      </c>
      <c r="AD69" s="77" t="s">
        <v>686</v>
      </c>
      <c r="AE69" s="83" t="str">
        <f>HYPERLINK("https://twitter.com/pardonmypain/status/1751719842351313121")</f>
        <v>https://twitter.com/pardonmypain/status/1751719842351313121</v>
      </c>
      <c r="AF69" s="79">
        <v>45319.89733796296</v>
      </c>
      <c r="AG69" s="85">
        <v>45319</v>
      </c>
      <c r="AH69" s="81" t="s">
        <v>751</v>
      </c>
      <c r="AI69" s="77"/>
      <c r="AJ69" s="77"/>
      <c r="AK69" s="77"/>
      <c r="AL69" s="77"/>
      <c r="AM69" s="77"/>
      <c r="AN69" s="77"/>
      <c r="AO69" s="77"/>
      <c r="AP69" s="77"/>
      <c r="AQ69" s="77"/>
      <c r="AR69" s="77"/>
      <c r="AS69" s="77"/>
      <c r="AT69" s="77"/>
      <c r="AU69" s="77"/>
      <c r="AV69" s="83" t="str">
        <f>HYPERLINK("https://pbs.twimg.com/profile_images/700915659/bebeskwid_normal.jpg")</f>
        <v>https://pbs.twimg.com/profile_images/700915659/bebeskwid_normal.jpg</v>
      </c>
      <c r="AW69" s="81" t="s">
        <v>1005</v>
      </c>
      <c r="AX69" s="81" t="s">
        <v>1113</v>
      </c>
      <c r="AY69" s="81" t="s">
        <v>1177</v>
      </c>
      <c r="AZ69" s="81" t="s">
        <v>1113</v>
      </c>
      <c r="BA69" s="81" t="s">
        <v>1210</v>
      </c>
      <c r="BB69" s="81" t="s">
        <v>1210</v>
      </c>
      <c r="BC69" s="81" t="s">
        <v>1113</v>
      </c>
      <c r="BD69" s="77">
        <v>113704528</v>
      </c>
      <c r="BE69" s="77"/>
      <c r="BF69" s="77"/>
      <c r="BG69" s="77"/>
      <c r="BH69" s="77"/>
      <c r="BI69" s="77"/>
      <c r="BJ69">
        <v>1</v>
      </c>
      <c r="BK69" s="76" t="str">
        <f>REPLACE(INDEX(GroupVertices[Group],MATCH("~"&amp;Edges27[[#This Row],[Vertex 1]],GroupVertices[Vertex],0)),1,1,"")</f>
        <v>46</v>
      </c>
      <c r="BL69" s="76" t="str">
        <f>REPLACE(INDEX(GroupVertices[Group],MATCH("~"&amp;Edges27[[#This Row],[Vertex 2]],GroupVertices[Vertex],0)),1,1,"")</f>
        <v>46</v>
      </c>
      <c r="BM69" s="45">
        <v>0</v>
      </c>
      <c r="BN69" s="46">
        <v>0</v>
      </c>
      <c r="BO69" s="45">
        <v>1</v>
      </c>
      <c r="BP69" s="46">
        <v>2.5</v>
      </c>
      <c r="BQ69" s="45">
        <v>0</v>
      </c>
      <c r="BR69" s="46">
        <v>0</v>
      </c>
      <c r="BS69" s="45">
        <v>19</v>
      </c>
      <c r="BT69" s="46">
        <v>47.5</v>
      </c>
      <c r="BU69" s="45">
        <v>40</v>
      </c>
    </row>
    <row r="70" spans="1:73" ht="15">
      <c r="A70" s="61" t="s">
        <v>283</v>
      </c>
      <c r="B70" s="61" t="s">
        <v>389</v>
      </c>
      <c r="C70" s="62"/>
      <c r="D70" s="63"/>
      <c r="E70" s="64"/>
      <c r="F70" s="65"/>
      <c r="G70" s="62"/>
      <c r="H70" s="66"/>
      <c r="I70" s="67"/>
      <c r="J70" s="67"/>
      <c r="K70" s="31" t="s">
        <v>65</v>
      </c>
      <c r="L70" s="75">
        <v>93</v>
      </c>
      <c r="M70" s="75"/>
      <c r="N70" s="69"/>
      <c r="O70" s="77" t="s">
        <v>437</v>
      </c>
      <c r="P70" s="79">
        <v>45319.9171875</v>
      </c>
      <c r="Q70" s="77" t="s">
        <v>507</v>
      </c>
      <c r="R70" s="77">
        <v>0</v>
      </c>
      <c r="S70" s="77">
        <v>0</v>
      </c>
      <c r="T70" s="77">
        <v>0</v>
      </c>
      <c r="U70" s="77">
        <v>0</v>
      </c>
      <c r="V70" s="77">
        <v>13</v>
      </c>
      <c r="W70" s="77"/>
      <c r="X70" s="77"/>
      <c r="Y70" s="77"/>
      <c r="Z70" s="77" t="s">
        <v>634</v>
      </c>
      <c r="AA70" s="77"/>
      <c r="AB70" s="77"/>
      <c r="AC70" s="81" t="s">
        <v>674</v>
      </c>
      <c r="AD70" s="77" t="s">
        <v>686</v>
      </c>
      <c r="AE70" s="83" t="str">
        <f>HYPERLINK("https://twitter.com/wingsatlast/status/1751727035846885617")</f>
        <v>https://twitter.com/wingsatlast/status/1751727035846885617</v>
      </c>
      <c r="AF70" s="79">
        <v>45319.9171875</v>
      </c>
      <c r="AG70" s="85">
        <v>45319</v>
      </c>
      <c r="AH70" s="81" t="s">
        <v>752</v>
      </c>
      <c r="AI70" s="77"/>
      <c r="AJ70" s="77"/>
      <c r="AK70" s="77"/>
      <c r="AL70" s="77"/>
      <c r="AM70" s="77"/>
      <c r="AN70" s="77"/>
      <c r="AO70" s="77"/>
      <c r="AP70" s="77"/>
      <c r="AQ70" s="77"/>
      <c r="AR70" s="77"/>
      <c r="AS70" s="77"/>
      <c r="AT70" s="77"/>
      <c r="AU70" s="77"/>
      <c r="AV70" s="83" t="str">
        <f>HYPERLINK("https://pbs.twimg.com/profile_images/1603214633028157440/Y8rvzt6Q_normal.jpg")</f>
        <v>https://pbs.twimg.com/profile_images/1603214633028157440/Y8rvzt6Q_normal.jpg</v>
      </c>
      <c r="AW70" s="81" t="s">
        <v>1006</v>
      </c>
      <c r="AX70" s="81" t="s">
        <v>1114</v>
      </c>
      <c r="AY70" s="81" t="s">
        <v>1178</v>
      </c>
      <c r="AZ70" s="81" t="s">
        <v>1114</v>
      </c>
      <c r="BA70" s="81" t="s">
        <v>1210</v>
      </c>
      <c r="BB70" s="81" t="s">
        <v>1210</v>
      </c>
      <c r="BC70" s="81" t="s">
        <v>1114</v>
      </c>
      <c r="BD70" s="81" t="s">
        <v>1265</v>
      </c>
      <c r="BE70" s="77"/>
      <c r="BF70" s="77"/>
      <c r="BG70" s="77"/>
      <c r="BH70" s="77"/>
      <c r="BI70" s="77"/>
      <c r="BJ70">
        <v>1</v>
      </c>
      <c r="BK70" s="76" t="str">
        <f>REPLACE(INDEX(GroupVertices[Group],MATCH("~"&amp;Edges27[[#This Row],[Vertex 1]],GroupVertices[Vertex],0)),1,1,"")</f>
        <v>16</v>
      </c>
      <c r="BL70" s="76" t="str">
        <f>REPLACE(INDEX(GroupVertices[Group],MATCH("~"&amp;Edges27[[#This Row],[Vertex 2]],GroupVertices[Vertex],0)),1,1,"")</f>
        <v>16</v>
      </c>
      <c r="BM70" s="45"/>
      <c r="BN70" s="46"/>
      <c r="BO70" s="45"/>
      <c r="BP70" s="46"/>
      <c r="BQ70" s="45"/>
      <c r="BR70" s="46"/>
      <c r="BS70" s="45"/>
      <c r="BT70" s="46"/>
      <c r="BU70" s="45"/>
    </row>
    <row r="71" spans="1:73" ht="15">
      <c r="A71" s="61" t="s">
        <v>284</v>
      </c>
      <c r="B71" s="61" t="s">
        <v>284</v>
      </c>
      <c r="C71" s="62"/>
      <c r="D71" s="63"/>
      <c r="E71" s="64"/>
      <c r="F71" s="65"/>
      <c r="G71" s="62"/>
      <c r="H71" s="66"/>
      <c r="I71" s="67"/>
      <c r="J71" s="67"/>
      <c r="K71" s="31" t="s">
        <v>65</v>
      </c>
      <c r="L71" s="75">
        <v>95</v>
      </c>
      <c r="M71" s="75"/>
      <c r="N71" s="69"/>
      <c r="O71" s="77" t="s">
        <v>178</v>
      </c>
      <c r="P71" s="79">
        <v>45312.696550925924</v>
      </c>
      <c r="Q71" s="77" t="s">
        <v>508</v>
      </c>
      <c r="R71" s="77">
        <v>1</v>
      </c>
      <c r="S71" s="77">
        <v>19</v>
      </c>
      <c r="T71" s="77">
        <v>15</v>
      </c>
      <c r="U71" s="77">
        <v>1</v>
      </c>
      <c r="V71" s="77">
        <v>7488</v>
      </c>
      <c r="W71" s="77"/>
      <c r="X71" s="83" t="str">
        <f>HYPERLINK("https://www.kgw.com/article/news/nation-world/israel-hamas-conflict/israel-hamas-war-palestinian-death-toll-in-gaza/507-b5580c00-947b-4cdf-bc5a-f1a42ba9377a?utm_campaign=snd-autopilot")</f>
        <v>https://www.kgw.com/article/news/nation-world/israel-hamas-conflict/israel-hamas-war-palestinian-death-toll-in-gaza/507-b5580c00-947b-4cdf-bc5a-f1a42ba9377a?utm_campaign=snd-autopilot</v>
      </c>
      <c r="Y71" s="77" t="s">
        <v>608</v>
      </c>
      <c r="Z71" s="77"/>
      <c r="AA71" s="77"/>
      <c r="AB71" s="77"/>
      <c r="AC71" s="81" t="s">
        <v>680</v>
      </c>
      <c r="AD71" s="77" t="s">
        <v>686</v>
      </c>
      <c r="AE71" s="83" t="str">
        <f>HYPERLINK("https://twitter.com/kgwnews/status/1749110365558857961")</f>
        <v>https://twitter.com/kgwnews/status/1749110365558857961</v>
      </c>
      <c r="AF71" s="79">
        <v>45312.696550925924</v>
      </c>
      <c r="AG71" s="85">
        <v>45312</v>
      </c>
      <c r="AH71" s="81" t="s">
        <v>753</v>
      </c>
      <c r="AI71" s="77" t="b">
        <v>0</v>
      </c>
      <c r="AJ71" s="77"/>
      <c r="AK71" s="77"/>
      <c r="AL71" s="77"/>
      <c r="AM71" s="77"/>
      <c r="AN71" s="77"/>
      <c r="AO71" s="77"/>
      <c r="AP71" s="77"/>
      <c r="AQ71" s="77"/>
      <c r="AR71" s="77"/>
      <c r="AS71" s="77"/>
      <c r="AT71" s="77"/>
      <c r="AU71" s="77"/>
      <c r="AV71" s="83" t="str">
        <f>HYPERLINK("https://pbs.twimg.com/profile_images/1234999131594055681/PBSrLVO2_normal.jpg")</f>
        <v>https://pbs.twimg.com/profile_images/1234999131594055681/PBSrLVO2_normal.jpg</v>
      </c>
      <c r="AW71" s="81" t="s">
        <v>1007</v>
      </c>
      <c r="AX71" s="81" t="s">
        <v>1007</v>
      </c>
      <c r="AY71" s="77"/>
      <c r="AZ71" s="81" t="s">
        <v>1210</v>
      </c>
      <c r="BA71" s="81" t="s">
        <v>1210</v>
      </c>
      <c r="BB71" s="81" t="s">
        <v>1210</v>
      </c>
      <c r="BC71" s="81" t="s">
        <v>1007</v>
      </c>
      <c r="BD71" s="77">
        <v>14185814</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v>0</v>
      </c>
      <c r="BN71" s="46">
        <v>0</v>
      </c>
      <c r="BO71" s="45">
        <v>2</v>
      </c>
      <c r="BP71" s="46">
        <v>14.285714285714286</v>
      </c>
      <c r="BQ71" s="45">
        <v>0</v>
      </c>
      <c r="BR71" s="46">
        <v>0</v>
      </c>
      <c r="BS71" s="45">
        <v>9</v>
      </c>
      <c r="BT71" s="46">
        <v>64.28571428571429</v>
      </c>
      <c r="BU71" s="45">
        <v>14</v>
      </c>
    </row>
    <row r="72" spans="1:73" ht="15">
      <c r="A72" s="61" t="s">
        <v>285</v>
      </c>
      <c r="B72" s="61" t="s">
        <v>391</v>
      </c>
      <c r="C72" s="62"/>
      <c r="D72" s="63"/>
      <c r="E72" s="64"/>
      <c r="F72" s="65"/>
      <c r="G72" s="62"/>
      <c r="H72" s="66"/>
      <c r="I72" s="67"/>
      <c r="J72" s="67"/>
      <c r="K72" s="31" t="s">
        <v>65</v>
      </c>
      <c r="L72" s="75">
        <v>96</v>
      </c>
      <c r="M72" s="75"/>
      <c r="N72" s="69"/>
      <c r="O72" s="77" t="s">
        <v>438</v>
      </c>
      <c r="P72" s="79">
        <v>45124.26951388889</v>
      </c>
      <c r="Q72" s="77" t="s">
        <v>509</v>
      </c>
      <c r="R72" s="77">
        <v>1</v>
      </c>
      <c r="S72" s="77">
        <v>4</v>
      </c>
      <c r="T72" s="77">
        <v>0</v>
      </c>
      <c r="U72" s="77">
        <v>0</v>
      </c>
      <c r="V72" s="77">
        <v>63</v>
      </c>
      <c r="W72" s="77"/>
      <c r="X72" s="77"/>
      <c r="Y72" s="77"/>
      <c r="Z72" s="77" t="s">
        <v>391</v>
      </c>
      <c r="AA72" s="77"/>
      <c r="AB72" s="77"/>
      <c r="AC72" s="81" t="s">
        <v>674</v>
      </c>
      <c r="AD72" s="77" t="s">
        <v>686</v>
      </c>
      <c r="AE72" s="83" t="str">
        <f>HYPERLINK("https://twitter.com/shaving_s/status/1680826690954747904")</f>
        <v>https://twitter.com/shaving_s/status/1680826690954747904</v>
      </c>
      <c r="AF72" s="79">
        <v>45124.26951388889</v>
      </c>
      <c r="AG72" s="85">
        <v>45124</v>
      </c>
      <c r="AH72" s="81" t="s">
        <v>754</v>
      </c>
      <c r="AI72" s="77"/>
      <c r="AJ72" s="77" t="s">
        <v>837</v>
      </c>
      <c r="AK72" s="77" t="s">
        <v>849</v>
      </c>
      <c r="AL72" s="77" t="s">
        <v>850</v>
      </c>
      <c r="AM72" s="77" t="s">
        <v>861</v>
      </c>
      <c r="AN72" s="77" t="s">
        <v>883</v>
      </c>
      <c r="AO72" s="77" t="s">
        <v>905</v>
      </c>
      <c r="AP72" s="77" t="s">
        <v>917</v>
      </c>
      <c r="AQ72" s="77"/>
      <c r="AR72" s="77"/>
      <c r="AS72" s="77"/>
      <c r="AT72" s="77"/>
      <c r="AU72" s="77"/>
      <c r="AV72" s="83" t="str">
        <f>HYPERLINK("https://pbs.twimg.com/profile_images/1658298697653026816/DRu3rFlr_normal.jpg")</f>
        <v>https://pbs.twimg.com/profile_images/1658298697653026816/DRu3rFlr_normal.jpg</v>
      </c>
      <c r="AW72" s="81" t="s">
        <v>1008</v>
      </c>
      <c r="AX72" s="81" t="s">
        <v>1115</v>
      </c>
      <c r="AY72" s="81" t="s">
        <v>1179</v>
      </c>
      <c r="AZ72" s="81" t="s">
        <v>1115</v>
      </c>
      <c r="BA72" s="81" t="s">
        <v>1210</v>
      </c>
      <c r="BB72" s="81" t="s">
        <v>1210</v>
      </c>
      <c r="BC72" s="81" t="s">
        <v>1115</v>
      </c>
      <c r="BD72" s="81" t="s">
        <v>1266</v>
      </c>
      <c r="BE72" s="77"/>
      <c r="BF72" s="77"/>
      <c r="BG72" s="77"/>
      <c r="BH72" s="77"/>
      <c r="BI72" s="77"/>
      <c r="BJ72">
        <v>1</v>
      </c>
      <c r="BK72" s="76" t="str">
        <f>REPLACE(INDEX(GroupVertices[Group],MATCH("~"&amp;Edges27[[#This Row],[Vertex 1]],GroupVertices[Vertex],0)),1,1,"")</f>
        <v>45</v>
      </c>
      <c r="BL72" s="76" t="str">
        <f>REPLACE(INDEX(GroupVertices[Group],MATCH("~"&amp;Edges27[[#This Row],[Vertex 2]],GroupVertices[Vertex],0)),1,1,"")</f>
        <v>45</v>
      </c>
      <c r="BM72" s="45">
        <v>0</v>
      </c>
      <c r="BN72" s="46">
        <v>0</v>
      </c>
      <c r="BO72" s="45">
        <v>4</v>
      </c>
      <c r="BP72" s="46">
        <v>12.121212121212121</v>
      </c>
      <c r="BQ72" s="45">
        <v>0</v>
      </c>
      <c r="BR72" s="46">
        <v>0</v>
      </c>
      <c r="BS72" s="45">
        <v>14</v>
      </c>
      <c r="BT72" s="46">
        <v>42.42424242424242</v>
      </c>
      <c r="BU72" s="45">
        <v>33</v>
      </c>
    </row>
    <row r="73" spans="1:73" ht="15">
      <c r="A73" s="61" t="s">
        <v>286</v>
      </c>
      <c r="B73" s="61" t="s">
        <v>286</v>
      </c>
      <c r="C73" s="62"/>
      <c r="D73" s="63"/>
      <c r="E73" s="64"/>
      <c r="F73" s="65"/>
      <c r="G73" s="62"/>
      <c r="H73" s="66"/>
      <c r="I73" s="67"/>
      <c r="J73" s="67"/>
      <c r="K73" s="31" t="s">
        <v>65</v>
      </c>
      <c r="L73" s="75">
        <v>97</v>
      </c>
      <c r="M73" s="75"/>
      <c r="N73" s="69"/>
      <c r="O73" s="77" t="s">
        <v>178</v>
      </c>
      <c r="P73" s="79">
        <v>45058.80556712963</v>
      </c>
      <c r="Q73" s="77" t="s">
        <v>510</v>
      </c>
      <c r="R73" s="77">
        <v>4</v>
      </c>
      <c r="S73" s="77">
        <v>18</v>
      </c>
      <c r="T73" s="77">
        <v>5</v>
      </c>
      <c r="U73" s="77">
        <v>1</v>
      </c>
      <c r="V73" s="77">
        <v>6490</v>
      </c>
      <c r="W73" s="77"/>
      <c r="X73" s="83" t="str">
        <f>HYPERLINK("https://buff.ly/3lkMiLz")</f>
        <v>https://buff.ly/3lkMiLz</v>
      </c>
      <c r="Y73" s="77" t="s">
        <v>611</v>
      </c>
      <c r="Z73" s="77"/>
      <c r="AA73" s="77"/>
      <c r="AB73" s="77"/>
      <c r="AC73" s="81" t="s">
        <v>676</v>
      </c>
      <c r="AD73" s="77" t="s">
        <v>686</v>
      </c>
      <c r="AE73" s="83" t="str">
        <f>HYPERLINK("https://twitter.com/chuckwoolery/status/1657103351157346316")</f>
        <v>https://twitter.com/chuckwoolery/status/1657103351157346316</v>
      </c>
      <c r="AF73" s="79">
        <v>45058.80556712963</v>
      </c>
      <c r="AG73" s="85">
        <v>45058</v>
      </c>
      <c r="AH73" s="81" t="s">
        <v>755</v>
      </c>
      <c r="AI73" s="77" t="b">
        <v>0</v>
      </c>
      <c r="AJ73" s="77"/>
      <c r="AK73" s="77"/>
      <c r="AL73" s="77"/>
      <c r="AM73" s="77"/>
      <c r="AN73" s="77"/>
      <c r="AO73" s="77"/>
      <c r="AP73" s="77"/>
      <c r="AQ73" s="77"/>
      <c r="AR73" s="77"/>
      <c r="AS73" s="77"/>
      <c r="AT73" s="77"/>
      <c r="AU73" s="77"/>
      <c r="AV73" s="83" t="str">
        <f>HYPERLINK("https://pbs.twimg.com/profile_images/1764172727/Chuck_Headshot_normal.jpg")</f>
        <v>https://pbs.twimg.com/profile_images/1764172727/Chuck_Headshot_normal.jpg</v>
      </c>
      <c r="AW73" s="81" t="s">
        <v>1009</v>
      </c>
      <c r="AX73" s="81" t="s">
        <v>1009</v>
      </c>
      <c r="AY73" s="77"/>
      <c r="AZ73" s="81" t="s">
        <v>1210</v>
      </c>
      <c r="BA73" s="81" t="s">
        <v>1210</v>
      </c>
      <c r="BB73" s="81" t="s">
        <v>1210</v>
      </c>
      <c r="BC73" s="81" t="s">
        <v>1009</v>
      </c>
      <c r="BD73" s="77">
        <v>462104542</v>
      </c>
      <c r="BE73" s="77"/>
      <c r="BF73" s="77"/>
      <c r="BG73" s="77"/>
      <c r="BH73" s="77"/>
      <c r="BI73" s="77"/>
      <c r="BJ73">
        <v>1</v>
      </c>
      <c r="BK73" s="76" t="str">
        <f>REPLACE(INDEX(GroupVertices[Group],MATCH("~"&amp;Edges27[[#This Row],[Vertex 1]],GroupVertices[Vertex],0)),1,1,"")</f>
        <v>44</v>
      </c>
      <c r="BL73" s="76" t="str">
        <f>REPLACE(INDEX(GroupVertices[Group],MATCH("~"&amp;Edges27[[#This Row],[Vertex 2]],GroupVertices[Vertex],0)),1,1,"")</f>
        <v>44</v>
      </c>
      <c r="BM73" s="45">
        <v>1</v>
      </c>
      <c r="BN73" s="46">
        <v>14.285714285714286</v>
      </c>
      <c r="BO73" s="45">
        <v>1</v>
      </c>
      <c r="BP73" s="46">
        <v>14.285714285714286</v>
      </c>
      <c r="BQ73" s="45">
        <v>0</v>
      </c>
      <c r="BR73" s="46">
        <v>0</v>
      </c>
      <c r="BS73" s="45">
        <v>2</v>
      </c>
      <c r="BT73" s="46">
        <v>28.571428571428573</v>
      </c>
      <c r="BU73" s="45">
        <v>7</v>
      </c>
    </row>
    <row r="74" spans="1:73" ht="15">
      <c r="A74" s="61" t="s">
        <v>287</v>
      </c>
      <c r="B74" s="61" t="s">
        <v>286</v>
      </c>
      <c r="C74" s="62"/>
      <c r="D74" s="63"/>
      <c r="E74" s="64"/>
      <c r="F74" s="65"/>
      <c r="G74" s="62"/>
      <c r="H74" s="66"/>
      <c r="I74" s="67"/>
      <c r="J74" s="67"/>
      <c r="K74" s="31" t="s">
        <v>65</v>
      </c>
      <c r="L74" s="75">
        <v>98</v>
      </c>
      <c r="M74" s="75"/>
      <c r="N74" s="69"/>
      <c r="O74" s="77" t="s">
        <v>439</v>
      </c>
      <c r="P74" s="79">
        <v>45058.81862268518</v>
      </c>
      <c r="Q74" s="77" t="s">
        <v>511</v>
      </c>
      <c r="R74" s="77">
        <v>0</v>
      </c>
      <c r="S74" s="77">
        <v>0</v>
      </c>
      <c r="T74" s="77">
        <v>0</v>
      </c>
      <c r="U74" s="77">
        <v>0</v>
      </c>
      <c r="V74" s="77">
        <v>13</v>
      </c>
      <c r="W74" s="77"/>
      <c r="X74" s="77"/>
      <c r="Y74" s="77"/>
      <c r="Z74" s="77"/>
      <c r="AA74" s="77"/>
      <c r="AB74" s="77"/>
      <c r="AC74" s="81" t="s">
        <v>674</v>
      </c>
      <c r="AD74" s="77" t="s">
        <v>686</v>
      </c>
      <c r="AE74" s="83" t="str">
        <f>HYPERLINK("https://twitter.com/billy_purcell/status/1657108083825582081")</f>
        <v>https://twitter.com/billy_purcell/status/1657108083825582081</v>
      </c>
      <c r="AF74" s="79">
        <v>45058.81862268518</v>
      </c>
      <c r="AG74" s="85">
        <v>45058</v>
      </c>
      <c r="AH74" s="81" t="s">
        <v>756</v>
      </c>
      <c r="AI74" s="77"/>
      <c r="AJ74" s="77" t="s">
        <v>829</v>
      </c>
      <c r="AK74" s="77" t="s">
        <v>849</v>
      </c>
      <c r="AL74" s="77" t="s">
        <v>850</v>
      </c>
      <c r="AM74" s="77" t="s">
        <v>853</v>
      </c>
      <c r="AN74" s="77" t="s">
        <v>875</v>
      </c>
      <c r="AO74" s="77" t="s">
        <v>897</v>
      </c>
      <c r="AP74" s="77" t="s">
        <v>917</v>
      </c>
      <c r="AQ74" s="77"/>
      <c r="AR74" s="77"/>
      <c r="AS74" s="77"/>
      <c r="AT74" s="77"/>
      <c r="AU74" s="77"/>
      <c r="AV74" s="83" t="str">
        <f>HYPERLINK("https://pbs.twimg.com/profile_images/1733746878989352960/S3w_MIUm_normal.jpg")</f>
        <v>https://pbs.twimg.com/profile_images/1733746878989352960/S3w_MIUm_normal.jpg</v>
      </c>
      <c r="AW74" s="81" t="s">
        <v>1010</v>
      </c>
      <c r="AX74" s="81" t="s">
        <v>1010</v>
      </c>
      <c r="AY74" s="77"/>
      <c r="AZ74" s="81" t="s">
        <v>1210</v>
      </c>
      <c r="BA74" s="81" t="s">
        <v>1009</v>
      </c>
      <c r="BB74" s="81" t="s">
        <v>1210</v>
      </c>
      <c r="BC74" s="81" t="s">
        <v>1009</v>
      </c>
      <c r="BD74" s="77">
        <v>67397666</v>
      </c>
      <c r="BE74" s="77"/>
      <c r="BF74" s="77"/>
      <c r="BG74" s="77"/>
      <c r="BH74" s="77"/>
      <c r="BI74" s="77"/>
      <c r="BJ74">
        <v>1</v>
      </c>
      <c r="BK74" s="76" t="str">
        <f>REPLACE(INDEX(GroupVertices[Group],MATCH("~"&amp;Edges27[[#This Row],[Vertex 1]],GroupVertices[Vertex],0)),1,1,"")</f>
        <v>44</v>
      </c>
      <c r="BL74" s="76" t="str">
        <f>REPLACE(INDEX(GroupVertices[Group],MATCH("~"&amp;Edges27[[#This Row],[Vertex 2]],GroupVertices[Vertex],0)),1,1,"")</f>
        <v>44</v>
      </c>
      <c r="BM74" s="45">
        <v>0</v>
      </c>
      <c r="BN74" s="46">
        <v>0</v>
      </c>
      <c r="BO74" s="45">
        <v>4</v>
      </c>
      <c r="BP74" s="46">
        <v>25</v>
      </c>
      <c r="BQ74" s="45">
        <v>0</v>
      </c>
      <c r="BR74" s="46">
        <v>0</v>
      </c>
      <c r="BS74" s="45">
        <v>7</v>
      </c>
      <c r="BT74" s="46">
        <v>43.75</v>
      </c>
      <c r="BU74" s="45">
        <v>16</v>
      </c>
    </row>
    <row r="75" spans="1:73" ht="15">
      <c r="A75" s="61" t="s">
        <v>288</v>
      </c>
      <c r="B75" s="61" t="s">
        <v>392</v>
      </c>
      <c r="C75" s="62"/>
      <c r="D75" s="63"/>
      <c r="E75" s="64"/>
      <c r="F75" s="65"/>
      <c r="G75" s="62"/>
      <c r="H75" s="66"/>
      <c r="I75" s="67"/>
      <c r="J75" s="67"/>
      <c r="K75" s="31" t="s">
        <v>65</v>
      </c>
      <c r="L75" s="75">
        <v>99</v>
      </c>
      <c r="M75" s="75"/>
      <c r="N75" s="69"/>
      <c r="O75" s="77" t="s">
        <v>437</v>
      </c>
      <c r="P75" s="79">
        <v>45133.6325462963</v>
      </c>
      <c r="Q75" s="77" t="s">
        <v>512</v>
      </c>
      <c r="R75" s="77">
        <v>0</v>
      </c>
      <c r="S75" s="77">
        <v>0</v>
      </c>
      <c r="T75" s="77">
        <v>0</v>
      </c>
      <c r="U75" s="77">
        <v>0</v>
      </c>
      <c r="V75" s="77">
        <v>31</v>
      </c>
      <c r="W75" s="77"/>
      <c r="X75" s="77"/>
      <c r="Y75" s="77"/>
      <c r="Z75" s="77" t="s">
        <v>635</v>
      </c>
      <c r="AA75" s="77"/>
      <c r="AB75" s="77"/>
      <c r="AC75" s="81" t="s">
        <v>674</v>
      </c>
      <c r="AD75" s="77" t="s">
        <v>686</v>
      </c>
      <c r="AE75" s="83" t="str">
        <f>HYPERLINK("https://twitter.com/art_burke/status/1684219740389257218")</f>
        <v>https://twitter.com/art_burke/status/1684219740389257218</v>
      </c>
      <c r="AF75" s="79">
        <v>45133.6325462963</v>
      </c>
      <c r="AG75" s="85">
        <v>45133</v>
      </c>
      <c r="AH75" s="81" t="s">
        <v>757</v>
      </c>
      <c r="AI75" s="77"/>
      <c r="AJ75" s="77" t="s">
        <v>828</v>
      </c>
      <c r="AK75" s="77" t="s">
        <v>849</v>
      </c>
      <c r="AL75" s="77" t="s">
        <v>850</v>
      </c>
      <c r="AM75" s="77" t="s">
        <v>852</v>
      </c>
      <c r="AN75" s="77" t="s">
        <v>874</v>
      </c>
      <c r="AO75" s="77" t="s">
        <v>896</v>
      </c>
      <c r="AP75" s="77" t="s">
        <v>917</v>
      </c>
      <c r="AQ75" s="77"/>
      <c r="AR75" s="77"/>
      <c r="AS75" s="77"/>
      <c r="AT75" s="77"/>
      <c r="AU75" s="77"/>
      <c r="AV75" s="83" t="str">
        <f>HYPERLINK("https://pbs.twimg.com/profile_images/577924067858104320/nB0U5RlO_normal.jpeg")</f>
        <v>https://pbs.twimg.com/profile_images/577924067858104320/nB0U5RlO_normal.jpeg</v>
      </c>
      <c r="AW75" s="81" t="s">
        <v>1011</v>
      </c>
      <c r="AX75" s="81" t="s">
        <v>1116</v>
      </c>
      <c r="AY75" s="81" t="s">
        <v>1180</v>
      </c>
      <c r="AZ75" s="81" t="s">
        <v>1223</v>
      </c>
      <c r="BA75" s="81" t="s">
        <v>1210</v>
      </c>
      <c r="BB75" s="81" t="s">
        <v>1210</v>
      </c>
      <c r="BC75" s="81" t="s">
        <v>1223</v>
      </c>
      <c r="BD75" s="77">
        <v>1217242807</v>
      </c>
      <c r="BE75" s="77"/>
      <c r="BF75" s="77"/>
      <c r="BG75" s="77"/>
      <c r="BH75" s="77"/>
      <c r="BI75" s="77"/>
      <c r="BJ75">
        <v>1</v>
      </c>
      <c r="BK75" s="76" t="str">
        <f>REPLACE(INDEX(GroupVertices[Group],MATCH("~"&amp;Edges27[[#This Row],[Vertex 1]],GroupVertices[Vertex],0)),1,1,"")</f>
        <v>4</v>
      </c>
      <c r="BL75" s="76" t="str">
        <f>REPLACE(INDEX(GroupVertices[Group],MATCH("~"&amp;Edges27[[#This Row],[Vertex 2]],GroupVertices[Vertex],0)),1,1,"")</f>
        <v>4</v>
      </c>
      <c r="BM75" s="45"/>
      <c r="BN75" s="46"/>
      <c r="BO75" s="45"/>
      <c r="BP75" s="46"/>
      <c r="BQ75" s="45"/>
      <c r="BR75" s="46"/>
      <c r="BS75" s="45"/>
      <c r="BT75" s="46"/>
      <c r="BU75" s="45"/>
    </row>
    <row r="76" spans="1:73" ht="15">
      <c r="A76" s="61" t="s">
        <v>288</v>
      </c>
      <c r="B76" s="61" t="s">
        <v>395</v>
      </c>
      <c r="C76" s="62"/>
      <c r="D76" s="63"/>
      <c r="E76" s="64"/>
      <c r="F76" s="65"/>
      <c r="G76" s="62"/>
      <c r="H76" s="66"/>
      <c r="I76" s="67"/>
      <c r="J76" s="67"/>
      <c r="K76" s="31" t="s">
        <v>65</v>
      </c>
      <c r="L76" s="75">
        <v>102</v>
      </c>
      <c r="M76" s="75"/>
      <c r="N76" s="69"/>
      <c r="O76" s="77" t="s">
        <v>437</v>
      </c>
      <c r="P76" s="79">
        <v>45054.05712962963</v>
      </c>
      <c r="Q76" s="77" t="s">
        <v>513</v>
      </c>
      <c r="R76" s="77">
        <v>0</v>
      </c>
      <c r="S76" s="77">
        <v>1</v>
      </c>
      <c r="T76" s="77">
        <v>4</v>
      </c>
      <c r="U76" s="77">
        <v>0</v>
      </c>
      <c r="V76" s="77">
        <v>163</v>
      </c>
      <c r="W76" s="77"/>
      <c r="X76" s="77"/>
      <c r="Y76" s="77"/>
      <c r="Z76" s="77" t="s">
        <v>636</v>
      </c>
      <c r="AA76" s="77"/>
      <c r="AB76" s="77"/>
      <c r="AC76" s="81" t="s">
        <v>674</v>
      </c>
      <c r="AD76" s="77" t="s">
        <v>686</v>
      </c>
      <c r="AE76" s="83" t="str">
        <f>HYPERLINK("https://twitter.com/art_burke/status/1655382576570437632")</f>
        <v>https://twitter.com/art_burke/status/1655382576570437632</v>
      </c>
      <c r="AF76" s="79">
        <v>45054.05712962963</v>
      </c>
      <c r="AG76" s="85">
        <v>45054</v>
      </c>
      <c r="AH76" s="81" t="s">
        <v>758</v>
      </c>
      <c r="AI76" s="77"/>
      <c r="AJ76" s="77" t="s">
        <v>828</v>
      </c>
      <c r="AK76" s="77" t="s">
        <v>849</v>
      </c>
      <c r="AL76" s="77" t="s">
        <v>850</v>
      </c>
      <c r="AM76" s="77" t="s">
        <v>852</v>
      </c>
      <c r="AN76" s="77" t="s">
        <v>874</v>
      </c>
      <c r="AO76" s="77" t="s">
        <v>896</v>
      </c>
      <c r="AP76" s="77" t="s">
        <v>917</v>
      </c>
      <c r="AQ76" s="77"/>
      <c r="AR76" s="77"/>
      <c r="AS76" s="77"/>
      <c r="AT76" s="77"/>
      <c r="AU76" s="77"/>
      <c r="AV76" s="83" t="str">
        <f>HYPERLINK("https://pbs.twimg.com/profile_images/577924067858104320/nB0U5RlO_normal.jpeg")</f>
        <v>https://pbs.twimg.com/profile_images/577924067858104320/nB0U5RlO_normal.jpeg</v>
      </c>
      <c r="AW76" s="81" t="s">
        <v>1012</v>
      </c>
      <c r="AX76" s="81" t="s">
        <v>1117</v>
      </c>
      <c r="AY76" s="81" t="s">
        <v>1181</v>
      </c>
      <c r="AZ76" s="81" t="s">
        <v>1224</v>
      </c>
      <c r="BA76" s="81" t="s">
        <v>1210</v>
      </c>
      <c r="BB76" s="81" t="s">
        <v>1210</v>
      </c>
      <c r="BC76" s="81" t="s">
        <v>1224</v>
      </c>
      <c r="BD76" s="77">
        <v>1217242807</v>
      </c>
      <c r="BE76" s="77"/>
      <c r="BF76" s="77"/>
      <c r="BG76" s="77"/>
      <c r="BH76" s="77"/>
      <c r="BI76" s="77"/>
      <c r="BJ76">
        <v>1</v>
      </c>
      <c r="BK76" s="76" t="str">
        <f>REPLACE(INDEX(GroupVertices[Group],MATCH("~"&amp;Edges27[[#This Row],[Vertex 1]],GroupVertices[Vertex],0)),1,1,"")</f>
        <v>4</v>
      </c>
      <c r="BL76" s="76" t="str">
        <f>REPLACE(INDEX(GroupVertices[Group],MATCH("~"&amp;Edges27[[#This Row],[Vertex 2]],GroupVertices[Vertex],0)),1,1,"")</f>
        <v>4</v>
      </c>
      <c r="BM76" s="45"/>
      <c r="BN76" s="46"/>
      <c r="BO76" s="45"/>
      <c r="BP76" s="46"/>
      <c r="BQ76" s="45"/>
      <c r="BR76" s="46"/>
      <c r="BS76" s="45"/>
      <c r="BT76" s="46"/>
      <c r="BU76" s="45"/>
    </row>
    <row r="77" spans="1:73" ht="15">
      <c r="A77" s="61" t="s">
        <v>288</v>
      </c>
      <c r="B77" s="61" t="s">
        <v>397</v>
      </c>
      <c r="C77" s="62"/>
      <c r="D77" s="63"/>
      <c r="E77" s="64"/>
      <c r="F77" s="65"/>
      <c r="G77" s="62"/>
      <c r="H77" s="66"/>
      <c r="I77" s="67"/>
      <c r="J77" s="67"/>
      <c r="K77" s="31" t="s">
        <v>65</v>
      </c>
      <c r="L77" s="75">
        <v>104</v>
      </c>
      <c r="M77" s="75"/>
      <c r="N77" s="69"/>
      <c r="O77" s="77" t="s">
        <v>438</v>
      </c>
      <c r="P77" s="79">
        <v>45298.71534722222</v>
      </c>
      <c r="Q77" s="77" t="s">
        <v>514</v>
      </c>
      <c r="R77" s="77">
        <v>0</v>
      </c>
      <c r="S77" s="77">
        <v>0</v>
      </c>
      <c r="T77" s="77">
        <v>0</v>
      </c>
      <c r="U77" s="77">
        <v>0</v>
      </c>
      <c r="V77" s="77">
        <v>10</v>
      </c>
      <c r="W77" s="77"/>
      <c r="X77" s="77"/>
      <c r="Y77" s="77"/>
      <c r="Z77" s="77" t="s">
        <v>397</v>
      </c>
      <c r="AA77" s="77"/>
      <c r="AB77" s="77"/>
      <c r="AC77" s="81" t="s">
        <v>674</v>
      </c>
      <c r="AD77" s="77" t="s">
        <v>686</v>
      </c>
      <c r="AE77" s="83" t="str">
        <f>HYPERLINK("https://twitter.com/art_burke/status/1744043745061093619")</f>
        <v>https://twitter.com/art_burke/status/1744043745061093619</v>
      </c>
      <c r="AF77" s="79">
        <v>45298.71534722222</v>
      </c>
      <c r="AG77" s="85">
        <v>45298</v>
      </c>
      <c r="AH77" s="81" t="s">
        <v>759</v>
      </c>
      <c r="AI77" s="77"/>
      <c r="AJ77" s="77" t="s">
        <v>828</v>
      </c>
      <c r="AK77" s="77" t="s">
        <v>849</v>
      </c>
      <c r="AL77" s="77" t="s">
        <v>850</v>
      </c>
      <c r="AM77" s="77" t="s">
        <v>852</v>
      </c>
      <c r="AN77" s="77" t="s">
        <v>874</v>
      </c>
      <c r="AO77" s="77" t="s">
        <v>896</v>
      </c>
      <c r="AP77" s="77" t="s">
        <v>917</v>
      </c>
      <c r="AQ77" s="77"/>
      <c r="AR77" s="77"/>
      <c r="AS77" s="77"/>
      <c r="AT77" s="77"/>
      <c r="AU77" s="77"/>
      <c r="AV77" s="83" t="str">
        <f>HYPERLINK("https://pbs.twimg.com/profile_images/577924067858104320/nB0U5RlO_normal.jpeg")</f>
        <v>https://pbs.twimg.com/profile_images/577924067858104320/nB0U5RlO_normal.jpeg</v>
      </c>
      <c r="AW77" s="81" t="s">
        <v>1013</v>
      </c>
      <c r="AX77" s="81" t="s">
        <v>1118</v>
      </c>
      <c r="AY77" s="81" t="s">
        <v>1182</v>
      </c>
      <c r="AZ77" s="81" t="s">
        <v>1118</v>
      </c>
      <c r="BA77" s="81" t="s">
        <v>1210</v>
      </c>
      <c r="BB77" s="81" t="s">
        <v>1210</v>
      </c>
      <c r="BC77" s="81" t="s">
        <v>1118</v>
      </c>
      <c r="BD77" s="77">
        <v>1217242807</v>
      </c>
      <c r="BE77" s="77"/>
      <c r="BF77" s="77"/>
      <c r="BG77" s="77"/>
      <c r="BH77" s="77"/>
      <c r="BI77" s="77"/>
      <c r="BJ77">
        <v>1</v>
      </c>
      <c r="BK77" s="76" t="str">
        <f>REPLACE(INDEX(GroupVertices[Group],MATCH("~"&amp;Edges27[[#This Row],[Vertex 1]],GroupVertices[Vertex],0)),1,1,"")</f>
        <v>4</v>
      </c>
      <c r="BL77" s="76" t="str">
        <f>REPLACE(INDEX(GroupVertices[Group],MATCH("~"&amp;Edges27[[#This Row],[Vertex 2]],GroupVertices[Vertex],0)),1,1,"")</f>
        <v>4</v>
      </c>
      <c r="BM77" s="45">
        <v>3</v>
      </c>
      <c r="BN77" s="46">
        <v>7.5</v>
      </c>
      <c r="BO77" s="45">
        <v>3</v>
      </c>
      <c r="BP77" s="46">
        <v>7.5</v>
      </c>
      <c r="BQ77" s="45">
        <v>0</v>
      </c>
      <c r="BR77" s="46">
        <v>0</v>
      </c>
      <c r="BS77" s="45">
        <v>23</v>
      </c>
      <c r="BT77" s="46">
        <v>57.5</v>
      </c>
      <c r="BU77" s="45">
        <v>40</v>
      </c>
    </row>
    <row r="78" spans="1:73" ht="15">
      <c r="A78" s="61" t="s">
        <v>289</v>
      </c>
      <c r="B78" s="61" t="s">
        <v>289</v>
      </c>
      <c r="C78" s="62"/>
      <c r="D78" s="63"/>
      <c r="E78" s="64"/>
      <c r="F78" s="65"/>
      <c r="G78" s="62"/>
      <c r="H78" s="66"/>
      <c r="I78" s="67"/>
      <c r="J78" s="67"/>
      <c r="K78" s="31" t="s">
        <v>65</v>
      </c>
      <c r="L78" s="75">
        <v>105</v>
      </c>
      <c r="M78" s="75"/>
      <c r="N78" s="69"/>
      <c r="O78" s="77" t="s">
        <v>178</v>
      </c>
      <c r="P78" s="79">
        <v>45311.34392361111</v>
      </c>
      <c r="Q78" s="77" t="s">
        <v>515</v>
      </c>
      <c r="R78" s="77">
        <v>1478</v>
      </c>
      <c r="S78" s="77">
        <v>1857</v>
      </c>
      <c r="T78" s="77">
        <v>109</v>
      </c>
      <c r="U78" s="77">
        <v>200</v>
      </c>
      <c r="V78" s="77">
        <v>75725</v>
      </c>
      <c r="W78" s="77"/>
      <c r="X78" s="77"/>
      <c r="Y78" s="77"/>
      <c r="Z78" s="77"/>
      <c r="AA78" s="77" t="s">
        <v>654</v>
      </c>
      <c r="AB78" s="77" t="s">
        <v>672</v>
      </c>
      <c r="AC78" s="81" t="s">
        <v>677</v>
      </c>
      <c r="AD78" s="77" t="s">
        <v>686</v>
      </c>
      <c r="AE78" s="83" t="str">
        <f>HYPERLINK("https://twitter.com/mordechaiklompa/status/1748620187526402171")</f>
        <v>https://twitter.com/mordechaiklompa/status/1748620187526402171</v>
      </c>
      <c r="AF78" s="79">
        <v>45311.34392361111</v>
      </c>
      <c r="AG78" s="85">
        <v>45311</v>
      </c>
      <c r="AH78" s="81" t="s">
        <v>760</v>
      </c>
      <c r="AI78" s="77" t="b">
        <v>0</v>
      </c>
      <c r="AJ78" s="77"/>
      <c r="AK78" s="77"/>
      <c r="AL78" s="77"/>
      <c r="AM78" s="77"/>
      <c r="AN78" s="77"/>
      <c r="AO78" s="77"/>
      <c r="AP78" s="77"/>
      <c r="AQ78" s="77" t="s">
        <v>925</v>
      </c>
      <c r="AR78" s="77">
        <v>118699</v>
      </c>
      <c r="AS78" s="77"/>
      <c r="AT78" s="77"/>
      <c r="AU78" s="77"/>
      <c r="AV78" s="83" t="str">
        <f>HYPERLINK("https://pbs.twimg.com/ext_tw_video_thumb/1748620090319286272/pu/img/Rpb0AiiDyI3YhsKr.jpg")</f>
        <v>https://pbs.twimg.com/ext_tw_video_thumb/1748620090319286272/pu/img/Rpb0AiiDyI3YhsKr.jpg</v>
      </c>
      <c r="AW78" s="81" t="s">
        <v>1014</v>
      </c>
      <c r="AX78" s="81" t="s">
        <v>1014</v>
      </c>
      <c r="AY78" s="77"/>
      <c r="AZ78" s="81" t="s">
        <v>1210</v>
      </c>
      <c r="BA78" s="81" t="s">
        <v>1210</v>
      </c>
      <c r="BB78" s="81" t="s">
        <v>1210</v>
      </c>
      <c r="BC78" s="81" t="s">
        <v>1014</v>
      </c>
      <c r="BD78" s="81" t="s">
        <v>1267</v>
      </c>
      <c r="BE78" s="77"/>
      <c r="BF78" s="77"/>
      <c r="BG78" s="77"/>
      <c r="BH78" s="77"/>
      <c r="BI78" s="77"/>
      <c r="BJ78">
        <v>1</v>
      </c>
      <c r="BK78" s="76" t="str">
        <f>REPLACE(INDEX(GroupVertices[Group],MATCH("~"&amp;Edges27[[#This Row],[Vertex 1]],GroupVertices[Vertex],0)),1,1,"")</f>
        <v>43</v>
      </c>
      <c r="BL78" s="76" t="str">
        <f>REPLACE(INDEX(GroupVertices[Group],MATCH("~"&amp;Edges27[[#This Row],[Vertex 2]],GroupVertices[Vertex],0)),1,1,"")</f>
        <v>43</v>
      </c>
      <c r="BM78" s="45">
        <v>0</v>
      </c>
      <c r="BN78" s="46">
        <v>0</v>
      </c>
      <c r="BO78" s="45">
        <v>2</v>
      </c>
      <c r="BP78" s="46">
        <v>4.545454545454546</v>
      </c>
      <c r="BQ78" s="45">
        <v>0</v>
      </c>
      <c r="BR78" s="46">
        <v>0</v>
      </c>
      <c r="BS78" s="45">
        <v>18</v>
      </c>
      <c r="BT78" s="46">
        <v>40.90909090909091</v>
      </c>
      <c r="BU78" s="45">
        <v>44</v>
      </c>
    </row>
    <row r="79" spans="1:73" ht="15">
      <c r="A79" s="61" t="s">
        <v>290</v>
      </c>
      <c r="B79" s="61" t="s">
        <v>289</v>
      </c>
      <c r="C79" s="62"/>
      <c r="D79" s="63"/>
      <c r="E79" s="64"/>
      <c r="F79" s="65"/>
      <c r="G79" s="62"/>
      <c r="H79" s="66"/>
      <c r="I79" s="67"/>
      <c r="J79" s="67"/>
      <c r="K79" s="31" t="s">
        <v>65</v>
      </c>
      <c r="L79" s="75">
        <v>106</v>
      </c>
      <c r="M79" s="75"/>
      <c r="N79" s="69"/>
      <c r="O79" s="77" t="s">
        <v>439</v>
      </c>
      <c r="P79" s="79">
        <v>45315.86324074074</v>
      </c>
      <c r="Q79" s="77" t="s">
        <v>516</v>
      </c>
      <c r="R79" s="77">
        <v>0</v>
      </c>
      <c r="S79" s="77">
        <v>0</v>
      </c>
      <c r="T79" s="77">
        <v>0</v>
      </c>
      <c r="U79" s="77">
        <v>0</v>
      </c>
      <c r="V79" s="77">
        <v>43</v>
      </c>
      <c r="W79" s="81" t="s">
        <v>590</v>
      </c>
      <c r="X79" s="77"/>
      <c r="Y79" s="77"/>
      <c r="Z79" s="77"/>
      <c r="AA79" s="77"/>
      <c r="AB79" s="77"/>
      <c r="AC79" s="81" t="s">
        <v>677</v>
      </c>
      <c r="AD79" s="77" t="s">
        <v>686</v>
      </c>
      <c r="AE79" s="83" t="str">
        <f>HYPERLINK("https://twitter.com/gentlypress/status/1750257933307547749")</f>
        <v>https://twitter.com/gentlypress/status/1750257933307547749</v>
      </c>
      <c r="AF79" s="79">
        <v>45315.86324074074</v>
      </c>
      <c r="AG79" s="85">
        <v>45315</v>
      </c>
      <c r="AH79" s="81" t="s">
        <v>761</v>
      </c>
      <c r="AI79" s="77"/>
      <c r="AJ79" s="77"/>
      <c r="AK79" s="77"/>
      <c r="AL79" s="77"/>
      <c r="AM79" s="77"/>
      <c r="AN79" s="77"/>
      <c r="AO79" s="77"/>
      <c r="AP79" s="77"/>
      <c r="AQ79" s="77"/>
      <c r="AR79" s="77"/>
      <c r="AS79" s="77"/>
      <c r="AT79" s="77"/>
      <c r="AU79" s="77"/>
      <c r="AV79" s="83" t="str">
        <f>HYPERLINK("https://pbs.twimg.com/profile_images/1713973080492752896/IxjB2O_G_normal.jpg")</f>
        <v>https://pbs.twimg.com/profile_images/1713973080492752896/IxjB2O_G_normal.jpg</v>
      </c>
      <c r="AW79" s="81" t="s">
        <v>1015</v>
      </c>
      <c r="AX79" s="81" t="s">
        <v>1015</v>
      </c>
      <c r="AY79" s="77"/>
      <c r="AZ79" s="81" t="s">
        <v>1210</v>
      </c>
      <c r="BA79" s="81" t="s">
        <v>1014</v>
      </c>
      <c r="BB79" s="81" t="s">
        <v>1210</v>
      </c>
      <c r="BC79" s="81" t="s">
        <v>1014</v>
      </c>
      <c r="BD79" s="77">
        <v>181832906</v>
      </c>
      <c r="BE79" s="77"/>
      <c r="BF79" s="77"/>
      <c r="BG79" s="77"/>
      <c r="BH79" s="77"/>
      <c r="BI79" s="77"/>
      <c r="BJ79">
        <v>1</v>
      </c>
      <c r="BK79" s="76" t="str">
        <f>REPLACE(INDEX(GroupVertices[Group],MATCH("~"&amp;Edges27[[#This Row],[Vertex 1]],GroupVertices[Vertex],0)),1,1,"")</f>
        <v>43</v>
      </c>
      <c r="BL79" s="76" t="str">
        <f>REPLACE(INDEX(GroupVertices[Group],MATCH("~"&amp;Edges27[[#This Row],[Vertex 2]],GroupVertices[Vertex],0)),1,1,"")</f>
        <v>43</v>
      </c>
      <c r="BM79" s="45">
        <v>0</v>
      </c>
      <c r="BN79" s="46">
        <v>0</v>
      </c>
      <c r="BO79" s="45">
        <v>4</v>
      </c>
      <c r="BP79" s="46">
        <v>13.333333333333334</v>
      </c>
      <c r="BQ79" s="45">
        <v>0</v>
      </c>
      <c r="BR79" s="46">
        <v>0</v>
      </c>
      <c r="BS79" s="45">
        <v>15</v>
      </c>
      <c r="BT79" s="46">
        <v>50</v>
      </c>
      <c r="BU79" s="45">
        <v>30</v>
      </c>
    </row>
    <row r="80" spans="1:73" ht="15">
      <c r="A80" s="61" t="s">
        <v>291</v>
      </c>
      <c r="B80" s="61" t="s">
        <v>398</v>
      </c>
      <c r="C80" s="62"/>
      <c r="D80" s="63"/>
      <c r="E80" s="64"/>
      <c r="F80" s="65"/>
      <c r="G80" s="62"/>
      <c r="H80" s="66"/>
      <c r="I80" s="67"/>
      <c r="J80" s="67"/>
      <c r="K80" s="31" t="s">
        <v>65</v>
      </c>
      <c r="L80" s="75">
        <v>107</v>
      </c>
      <c r="M80" s="75"/>
      <c r="N80" s="69"/>
      <c r="O80" s="77" t="s">
        <v>437</v>
      </c>
      <c r="P80" s="79">
        <v>45316.04657407408</v>
      </c>
      <c r="Q80" s="77" t="s">
        <v>517</v>
      </c>
      <c r="R80" s="77">
        <v>0</v>
      </c>
      <c r="S80" s="77">
        <v>3</v>
      </c>
      <c r="T80" s="77">
        <v>3</v>
      </c>
      <c r="U80" s="77">
        <v>0</v>
      </c>
      <c r="V80" s="77">
        <v>94</v>
      </c>
      <c r="W80" s="77"/>
      <c r="X80" s="77"/>
      <c r="Y80" s="77"/>
      <c r="Z80" s="77" t="s">
        <v>637</v>
      </c>
      <c r="AA80" s="77"/>
      <c r="AB80" s="77"/>
      <c r="AC80" s="81" t="s">
        <v>677</v>
      </c>
      <c r="AD80" s="77" t="s">
        <v>686</v>
      </c>
      <c r="AE80" s="83" t="str">
        <f>HYPERLINK("https://twitter.com/beautiful_str34/status/1750324372844495189")</f>
        <v>https://twitter.com/beautiful_str34/status/1750324372844495189</v>
      </c>
      <c r="AF80" s="79">
        <v>45316.04657407408</v>
      </c>
      <c r="AG80" s="85">
        <v>45316</v>
      </c>
      <c r="AH80" s="81" t="s">
        <v>762</v>
      </c>
      <c r="AI80" s="77"/>
      <c r="AJ80" s="77"/>
      <c r="AK80" s="77"/>
      <c r="AL80" s="77"/>
      <c r="AM80" s="77"/>
      <c r="AN80" s="77"/>
      <c r="AO80" s="77"/>
      <c r="AP80" s="77"/>
      <c r="AQ80" s="77"/>
      <c r="AR80" s="77"/>
      <c r="AS80" s="77"/>
      <c r="AT80" s="77"/>
      <c r="AU80" s="77"/>
      <c r="AV80" s="83" t="str">
        <f>HYPERLINK("https://pbs.twimg.com/profile_images/1688724927590080512/k9BtWP8O_normal.jpg")</f>
        <v>https://pbs.twimg.com/profile_images/1688724927590080512/k9BtWP8O_normal.jpg</v>
      </c>
      <c r="AW80" s="81" t="s">
        <v>1016</v>
      </c>
      <c r="AX80" s="81" t="s">
        <v>1119</v>
      </c>
      <c r="AY80" s="81" t="s">
        <v>1183</v>
      </c>
      <c r="AZ80" s="81" t="s">
        <v>1119</v>
      </c>
      <c r="BA80" s="81" t="s">
        <v>1210</v>
      </c>
      <c r="BB80" s="81" t="s">
        <v>1210</v>
      </c>
      <c r="BC80" s="81" t="s">
        <v>1119</v>
      </c>
      <c r="BD80" s="81" t="s">
        <v>1268</v>
      </c>
      <c r="BE80" s="77"/>
      <c r="BF80" s="77"/>
      <c r="BG80" s="77"/>
      <c r="BH80" s="77"/>
      <c r="BI80" s="77"/>
      <c r="BJ80">
        <v>1</v>
      </c>
      <c r="BK80" s="76" t="str">
        <f>REPLACE(INDEX(GroupVertices[Group],MATCH("~"&amp;Edges27[[#This Row],[Vertex 1]],GroupVertices[Vertex],0)),1,1,"")</f>
        <v>5</v>
      </c>
      <c r="BL80" s="76" t="str">
        <f>REPLACE(INDEX(GroupVertices[Group],MATCH("~"&amp;Edges27[[#This Row],[Vertex 2]],GroupVertices[Vertex],0)),1,1,"")</f>
        <v>5</v>
      </c>
      <c r="BM80" s="45"/>
      <c r="BN80" s="46"/>
      <c r="BO80" s="45"/>
      <c r="BP80" s="46"/>
      <c r="BQ80" s="45"/>
      <c r="BR80" s="46"/>
      <c r="BS80" s="45"/>
      <c r="BT80" s="46"/>
      <c r="BU80" s="45"/>
    </row>
    <row r="81" spans="1:73" ht="15">
      <c r="A81" s="61" t="s">
        <v>292</v>
      </c>
      <c r="B81" s="61" t="s">
        <v>292</v>
      </c>
      <c r="C81" s="62"/>
      <c r="D81" s="63"/>
      <c r="E81" s="64"/>
      <c r="F81" s="65"/>
      <c r="G81" s="62"/>
      <c r="H81" s="66"/>
      <c r="I81" s="67"/>
      <c r="J81" s="67"/>
      <c r="K81" s="31" t="s">
        <v>65</v>
      </c>
      <c r="L81" s="75">
        <v>112</v>
      </c>
      <c r="M81" s="75"/>
      <c r="N81" s="69"/>
      <c r="O81" s="77" t="s">
        <v>178</v>
      </c>
      <c r="P81" s="79">
        <v>45313.65347222222</v>
      </c>
      <c r="Q81" s="77" t="s">
        <v>518</v>
      </c>
      <c r="R81" s="77">
        <v>2382</v>
      </c>
      <c r="S81" s="77">
        <v>12601</v>
      </c>
      <c r="T81" s="77">
        <v>98</v>
      </c>
      <c r="U81" s="77">
        <v>597</v>
      </c>
      <c r="V81" s="77">
        <v>1546335</v>
      </c>
      <c r="W81" s="77"/>
      <c r="X81" s="77"/>
      <c r="Y81" s="77"/>
      <c r="Z81" s="77"/>
      <c r="AA81" s="77" t="s">
        <v>655</v>
      </c>
      <c r="AB81" s="77" t="s">
        <v>672</v>
      </c>
      <c r="AC81" s="81" t="s">
        <v>674</v>
      </c>
      <c r="AD81" s="77" t="s">
        <v>686</v>
      </c>
      <c r="AE81" s="83" t="str">
        <f>HYPERLINK("https://twitter.com/muellershewrote/status/1749457140287479825")</f>
        <v>https://twitter.com/muellershewrote/status/1749457140287479825</v>
      </c>
      <c r="AF81" s="79">
        <v>45313.65347222222</v>
      </c>
      <c r="AG81" s="85">
        <v>45313</v>
      </c>
      <c r="AH81" s="81" t="s">
        <v>763</v>
      </c>
      <c r="AI81" s="77" t="b">
        <v>0</v>
      </c>
      <c r="AJ81" s="77"/>
      <c r="AK81" s="77"/>
      <c r="AL81" s="77"/>
      <c r="AM81" s="77"/>
      <c r="AN81" s="77"/>
      <c r="AO81" s="77"/>
      <c r="AP81" s="77"/>
      <c r="AQ81" s="77" t="s">
        <v>926</v>
      </c>
      <c r="AR81" s="77">
        <v>65080</v>
      </c>
      <c r="AS81" s="77"/>
      <c r="AT81" s="77"/>
      <c r="AU81" s="77"/>
      <c r="AV81" s="83" t="str">
        <f>HYPERLINK("https://pbs.twimg.com/ext_tw_video_thumb/1749102754260279297/pu/img/ZiNjgduFQezy14-7.jpg")</f>
        <v>https://pbs.twimg.com/ext_tw_video_thumb/1749102754260279297/pu/img/ZiNjgduFQezy14-7.jpg</v>
      </c>
      <c r="AW81" s="81" t="s">
        <v>1017</v>
      </c>
      <c r="AX81" s="81" t="s">
        <v>1017</v>
      </c>
      <c r="AY81" s="77"/>
      <c r="AZ81" s="81" t="s">
        <v>1210</v>
      </c>
      <c r="BA81" s="81" t="s">
        <v>1210</v>
      </c>
      <c r="BB81" s="81" t="s">
        <v>1210</v>
      </c>
      <c r="BC81" s="81" t="s">
        <v>1017</v>
      </c>
      <c r="BD81" s="81" t="s">
        <v>1269</v>
      </c>
      <c r="BE81" s="77"/>
      <c r="BF81" s="77"/>
      <c r="BG81" s="77"/>
      <c r="BH81" s="77"/>
      <c r="BI81" s="77"/>
      <c r="BJ81">
        <v>1</v>
      </c>
      <c r="BK81" s="76" t="str">
        <f>REPLACE(INDEX(GroupVertices[Group],MATCH("~"&amp;Edges27[[#This Row],[Vertex 1]],GroupVertices[Vertex],0)),1,1,"")</f>
        <v>42</v>
      </c>
      <c r="BL81" s="76" t="str">
        <f>REPLACE(INDEX(GroupVertices[Group],MATCH("~"&amp;Edges27[[#This Row],[Vertex 2]],GroupVertices[Vertex],0)),1,1,"")</f>
        <v>42</v>
      </c>
      <c r="BM81" s="45">
        <v>1</v>
      </c>
      <c r="BN81" s="46">
        <v>8.333333333333334</v>
      </c>
      <c r="BO81" s="45">
        <v>1</v>
      </c>
      <c r="BP81" s="46">
        <v>8.333333333333334</v>
      </c>
      <c r="BQ81" s="45">
        <v>0</v>
      </c>
      <c r="BR81" s="46">
        <v>0</v>
      </c>
      <c r="BS81" s="45">
        <v>5</v>
      </c>
      <c r="BT81" s="46">
        <v>41.666666666666664</v>
      </c>
      <c r="BU81" s="45">
        <v>12</v>
      </c>
    </row>
    <row r="82" spans="1:73" ht="15">
      <c r="A82" s="61" t="s">
        <v>293</v>
      </c>
      <c r="B82" s="61" t="s">
        <v>292</v>
      </c>
      <c r="C82" s="62"/>
      <c r="D82" s="63"/>
      <c r="E82" s="64"/>
      <c r="F82" s="65"/>
      <c r="G82" s="62"/>
      <c r="H82" s="66"/>
      <c r="I82" s="67"/>
      <c r="J82" s="67"/>
      <c r="K82" s="31" t="s">
        <v>65</v>
      </c>
      <c r="L82" s="75">
        <v>113</v>
      </c>
      <c r="M82" s="75"/>
      <c r="N82" s="69"/>
      <c r="O82" s="77" t="s">
        <v>439</v>
      </c>
      <c r="P82" s="79">
        <v>45313.7950462963</v>
      </c>
      <c r="Q82" s="77" t="s">
        <v>519</v>
      </c>
      <c r="R82" s="77">
        <v>0</v>
      </c>
      <c r="S82" s="77">
        <v>0</v>
      </c>
      <c r="T82" s="77">
        <v>0</v>
      </c>
      <c r="U82" s="77">
        <v>0</v>
      </c>
      <c r="V82" s="77">
        <v>119</v>
      </c>
      <c r="W82" s="77"/>
      <c r="X82" s="77"/>
      <c r="Y82" s="77"/>
      <c r="Z82" s="77"/>
      <c r="AA82" s="77" t="s">
        <v>656</v>
      </c>
      <c r="AB82" s="77" t="s">
        <v>670</v>
      </c>
      <c r="AC82" s="81" t="s">
        <v>677</v>
      </c>
      <c r="AD82" s="77" t="s">
        <v>686</v>
      </c>
      <c r="AE82" s="83" t="str">
        <f>HYPERLINK("https://twitter.com/murray_tim/status/1749508447631208808")</f>
        <v>https://twitter.com/murray_tim/status/1749508447631208808</v>
      </c>
      <c r="AF82" s="79">
        <v>45313.7950462963</v>
      </c>
      <c r="AG82" s="85">
        <v>45313</v>
      </c>
      <c r="AH82" s="81" t="s">
        <v>764</v>
      </c>
      <c r="AI82" s="77" t="b">
        <v>0</v>
      </c>
      <c r="AJ82" s="77"/>
      <c r="AK82" s="77"/>
      <c r="AL82" s="77"/>
      <c r="AM82" s="77"/>
      <c r="AN82" s="77"/>
      <c r="AO82" s="77"/>
      <c r="AP82" s="77"/>
      <c r="AQ82" s="77" t="s">
        <v>927</v>
      </c>
      <c r="AR82" s="77"/>
      <c r="AS82" s="77"/>
      <c r="AT82" s="77"/>
      <c r="AU82" s="77"/>
      <c r="AV82" s="83" t="str">
        <f>HYPERLINK("https://pbs.twimg.com/tweet_video_thumb/GEeAqJRa4AITn77.jpg")</f>
        <v>https://pbs.twimg.com/tweet_video_thumb/GEeAqJRa4AITn77.jpg</v>
      </c>
      <c r="AW82" s="81" t="s">
        <v>1018</v>
      </c>
      <c r="AX82" s="81" t="s">
        <v>1018</v>
      </c>
      <c r="AY82" s="77"/>
      <c r="AZ82" s="81" t="s">
        <v>1210</v>
      </c>
      <c r="BA82" s="81" t="s">
        <v>1017</v>
      </c>
      <c r="BB82" s="81" t="s">
        <v>1210</v>
      </c>
      <c r="BC82" s="81" t="s">
        <v>1017</v>
      </c>
      <c r="BD82" s="77">
        <v>307536357</v>
      </c>
      <c r="BE82" s="77"/>
      <c r="BF82" s="77"/>
      <c r="BG82" s="77"/>
      <c r="BH82" s="77"/>
      <c r="BI82" s="77"/>
      <c r="BJ82">
        <v>1</v>
      </c>
      <c r="BK82" s="76" t="str">
        <f>REPLACE(INDEX(GroupVertices[Group],MATCH("~"&amp;Edges27[[#This Row],[Vertex 1]],GroupVertices[Vertex],0)),1,1,"")</f>
        <v>42</v>
      </c>
      <c r="BL82" s="76" t="str">
        <f>REPLACE(INDEX(GroupVertices[Group],MATCH("~"&amp;Edges27[[#This Row],[Vertex 2]],GroupVertices[Vertex],0)),1,1,"")</f>
        <v>42</v>
      </c>
      <c r="BM82" s="45">
        <v>0</v>
      </c>
      <c r="BN82" s="46">
        <v>0</v>
      </c>
      <c r="BO82" s="45">
        <v>2</v>
      </c>
      <c r="BP82" s="46">
        <v>9.523809523809524</v>
      </c>
      <c r="BQ82" s="45">
        <v>0</v>
      </c>
      <c r="BR82" s="46">
        <v>0</v>
      </c>
      <c r="BS82" s="45">
        <v>7</v>
      </c>
      <c r="BT82" s="46">
        <v>33.333333333333336</v>
      </c>
      <c r="BU82" s="45">
        <v>21</v>
      </c>
    </row>
    <row r="83" spans="1:73" ht="15">
      <c r="A83" s="61" t="s">
        <v>294</v>
      </c>
      <c r="B83" s="61" t="s">
        <v>294</v>
      </c>
      <c r="C83" s="62"/>
      <c r="D83" s="63"/>
      <c r="E83" s="64"/>
      <c r="F83" s="65"/>
      <c r="G83" s="62"/>
      <c r="H83" s="66"/>
      <c r="I83" s="67"/>
      <c r="J83" s="67"/>
      <c r="K83" s="31" t="s">
        <v>65</v>
      </c>
      <c r="L83" s="75">
        <v>114</v>
      </c>
      <c r="M83" s="75"/>
      <c r="N83" s="69"/>
      <c r="O83" s="77" t="s">
        <v>178</v>
      </c>
      <c r="P83" s="79">
        <v>45021.59611111111</v>
      </c>
      <c r="Q83" s="77" t="s">
        <v>520</v>
      </c>
      <c r="R83" s="77">
        <v>27</v>
      </c>
      <c r="S83" s="77">
        <v>139</v>
      </c>
      <c r="T83" s="77">
        <v>3</v>
      </c>
      <c r="U83" s="77">
        <v>3</v>
      </c>
      <c r="V83" s="77">
        <v>14868</v>
      </c>
      <c r="W83" s="77"/>
      <c r="X83" s="77"/>
      <c r="Y83" s="77"/>
      <c r="Z83" s="77"/>
      <c r="AA83" s="77" t="s">
        <v>657</v>
      </c>
      <c r="AB83" s="77" t="s">
        <v>672</v>
      </c>
      <c r="AC83" s="81" t="s">
        <v>674</v>
      </c>
      <c r="AD83" s="77" t="s">
        <v>686</v>
      </c>
      <c r="AE83" s="83" t="str">
        <f>HYPERLINK("https://twitter.com/weatherjefe/status/1643619095886155778")</f>
        <v>https://twitter.com/weatherjefe/status/1643619095886155778</v>
      </c>
      <c r="AF83" s="79">
        <v>45021.59611111111</v>
      </c>
      <c r="AG83" s="85">
        <v>45021</v>
      </c>
      <c r="AH83" s="81" t="s">
        <v>765</v>
      </c>
      <c r="AI83" s="77" t="b">
        <v>0</v>
      </c>
      <c r="AJ83" s="77" t="s">
        <v>837</v>
      </c>
      <c r="AK83" s="77" t="s">
        <v>849</v>
      </c>
      <c r="AL83" s="77" t="s">
        <v>850</v>
      </c>
      <c r="AM83" s="77" t="s">
        <v>861</v>
      </c>
      <c r="AN83" s="77" t="s">
        <v>883</v>
      </c>
      <c r="AO83" s="77" t="s">
        <v>905</v>
      </c>
      <c r="AP83" s="77" t="s">
        <v>917</v>
      </c>
      <c r="AQ83" s="77" t="s">
        <v>928</v>
      </c>
      <c r="AR83" s="77">
        <v>18685</v>
      </c>
      <c r="AS83" s="77"/>
      <c r="AT83" s="77"/>
      <c r="AU83" s="77"/>
      <c r="AV83" s="83" t="str">
        <f>HYPERLINK("https://pbs.twimg.com/ext_tw_video_thumb/1643618784517783552/pu/img/qqNNm1pSdXRmZGpt.jpg")</f>
        <v>https://pbs.twimg.com/ext_tw_video_thumb/1643618784517783552/pu/img/qqNNm1pSdXRmZGpt.jpg</v>
      </c>
      <c r="AW83" s="81" t="s">
        <v>1019</v>
      </c>
      <c r="AX83" s="81" t="s">
        <v>1019</v>
      </c>
      <c r="AY83" s="77"/>
      <c r="AZ83" s="81" t="s">
        <v>1210</v>
      </c>
      <c r="BA83" s="81" t="s">
        <v>1210</v>
      </c>
      <c r="BB83" s="81" t="s">
        <v>1210</v>
      </c>
      <c r="BC83" s="81" t="s">
        <v>1019</v>
      </c>
      <c r="BD83" s="77">
        <v>46821352</v>
      </c>
      <c r="BE83" s="77"/>
      <c r="BF83" s="77"/>
      <c r="BG83" s="77"/>
      <c r="BH83" s="77"/>
      <c r="BI83" s="77"/>
      <c r="BJ83">
        <v>1</v>
      </c>
      <c r="BK83" s="76" t="str">
        <f>REPLACE(INDEX(GroupVertices[Group],MATCH("~"&amp;Edges27[[#This Row],[Vertex 1]],GroupVertices[Vertex],0)),1,1,"")</f>
        <v>48</v>
      </c>
      <c r="BL83" s="76" t="str">
        <f>REPLACE(INDEX(GroupVertices[Group],MATCH("~"&amp;Edges27[[#This Row],[Vertex 2]],GroupVertices[Vertex],0)),1,1,"")</f>
        <v>48</v>
      </c>
      <c r="BM83" s="45">
        <v>0</v>
      </c>
      <c r="BN83" s="46">
        <v>0</v>
      </c>
      <c r="BO83" s="45">
        <v>1</v>
      </c>
      <c r="BP83" s="46">
        <v>2</v>
      </c>
      <c r="BQ83" s="45">
        <v>0</v>
      </c>
      <c r="BR83" s="46">
        <v>0</v>
      </c>
      <c r="BS83" s="45">
        <v>26</v>
      </c>
      <c r="BT83" s="46">
        <v>52</v>
      </c>
      <c r="BU83" s="45">
        <v>50</v>
      </c>
    </row>
    <row r="84" spans="1:73" ht="15">
      <c r="A84" s="61" t="s">
        <v>295</v>
      </c>
      <c r="B84" s="61" t="s">
        <v>305</v>
      </c>
      <c r="C84" s="62"/>
      <c r="D84" s="63"/>
      <c r="E84" s="64"/>
      <c r="F84" s="65"/>
      <c r="G84" s="62"/>
      <c r="H84" s="66"/>
      <c r="I84" s="67"/>
      <c r="J84" s="67"/>
      <c r="K84" s="31" t="s">
        <v>65</v>
      </c>
      <c r="L84" s="75">
        <v>115</v>
      </c>
      <c r="M84" s="75"/>
      <c r="N84" s="69"/>
      <c r="O84" s="77" t="s">
        <v>439</v>
      </c>
      <c r="P84" s="79">
        <v>45044.825636574074</v>
      </c>
      <c r="Q84" s="77" t="s">
        <v>521</v>
      </c>
      <c r="R84" s="77">
        <v>0</v>
      </c>
      <c r="S84" s="77">
        <v>0</v>
      </c>
      <c r="T84" s="77">
        <v>0</v>
      </c>
      <c r="U84" s="77">
        <v>0</v>
      </c>
      <c r="V84" s="77">
        <v>40</v>
      </c>
      <c r="W84" s="81" t="s">
        <v>591</v>
      </c>
      <c r="X84" s="77"/>
      <c r="Y84" s="77"/>
      <c r="Z84" s="77"/>
      <c r="AA84" s="77"/>
      <c r="AB84" s="77"/>
      <c r="AC84" s="81" t="s">
        <v>674</v>
      </c>
      <c r="AD84" s="77" t="s">
        <v>686</v>
      </c>
      <c r="AE84" s="83" t="str">
        <f>HYPERLINK("https://twitter.com/dedevotesblue/status/1652037196151681025")</f>
        <v>https://twitter.com/dedevotesblue/status/1652037196151681025</v>
      </c>
      <c r="AF84" s="79">
        <v>45044.825636574074</v>
      </c>
      <c r="AG84" s="85">
        <v>45044</v>
      </c>
      <c r="AH84" s="81" t="s">
        <v>766</v>
      </c>
      <c r="AI84" s="77"/>
      <c r="AJ84" s="77" t="s">
        <v>842</v>
      </c>
      <c r="AK84" s="77" t="s">
        <v>849</v>
      </c>
      <c r="AL84" s="77" t="s">
        <v>850</v>
      </c>
      <c r="AM84" s="77" t="s">
        <v>866</v>
      </c>
      <c r="AN84" s="77" t="s">
        <v>888</v>
      </c>
      <c r="AO84" s="77" t="s">
        <v>910</v>
      </c>
      <c r="AP84" s="77" t="s">
        <v>917</v>
      </c>
      <c r="AQ84" s="77"/>
      <c r="AR84" s="77"/>
      <c r="AS84" s="77"/>
      <c r="AT84" s="77"/>
      <c r="AU84" s="77"/>
      <c r="AV84" s="83" t="str">
        <f>HYPERLINK("https://pbs.twimg.com/profile_images/1718830424208683008/6Oi7cFrY_normal.jpg")</f>
        <v>https://pbs.twimg.com/profile_images/1718830424208683008/6Oi7cFrY_normal.jpg</v>
      </c>
      <c r="AW84" s="81" t="s">
        <v>1020</v>
      </c>
      <c r="AX84" s="81" t="s">
        <v>1020</v>
      </c>
      <c r="AY84" s="77"/>
      <c r="AZ84" s="81" t="s">
        <v>1210</v>
      </c>
      <c r="BA84" s="81" t="s">
        <v>1030</v>
      </c>
      <c r="BB84" s="81" t="s">
        <v>1210</v>
      </c>
      <c r="BC84" s="81" t="s">
        <v>1030</v>
      </c>
      <c r="BD84" s="77">
        <v>1454713914</v>
      </c>
      <c r="BE84" s="77"/>
      <c r="BF84" s="77"/>
      <c r="BG84" s="77"/>
      <c r="BH84" s="77"/>
      <c r="BI84" s="77"/>
      <c r="BJ84">
        <v>1</v>
      </c>
      <c r="BK84" s="76" t="str">
        <f>REPLACE(INDEX(GroupVertices[Group],MATCH("~"&amp;Edges27[[#This Row],[Vertex 1]],GroupVertices[Vertex],0)),1,1,"")</f>
        <v>41</v>
      </c>
      <c r="BL84" s="76" t="str">
        <f>REPLACE(INDEX(GroupVertices[Group],MATCH("~"&amp;Edges27[[#This Row],[Vertex 2]],GroupVertices[Vertex],0)),1,1,"")</f>
        <v>41</v>
      </c>
      <c r="BM84" s="45">
        <v>0</v>
      </c>
      <c r="BN84" s="46">
        <v>0</v>
      </c>
      <c r="BO84" s="45">
        <v>2</v>
      </c>
      <c r="BP84" s="46">
        <v>15.384615384615385</v>
      </c>
      <c r="BQ84" s="45">
        <v>0</v>
      </c>
      <c r="BR84" s="46">
        <v>0</v>
      </c>
      <c r="BS84" s="45">
        <v>4</v>
      </c>
      <c r="BT84" s="46">
        <v>30.76923076923077</v>
      </c>
      <c r="BU84" s="45">
        <v>13</v>
      </c>
    </row>
    <row r="85" spans="1:73" ht="15">
      <c r="A85" s="61" t="s">
        <v>296</v>
      </c>
      <c r="B85" s="61" t="s">
        <v>403</v>
      </c>
      <c r="C85" s="62"/>
      <c r="D85" s="63"/>
      <c r="E85" s="64"/>
      <c r="F85" s="65"/>
      <c r="G85" s="62"/>
      <c r="H85" s="66"/>
      <c r="I85" s="67"/>
      <c r="J85" s="67"/>
      <c r="K85" s="31" t="s">
        <v>65</v>
      </c>
      <c r="L85" s="75">
        <v>116</v>
      </c>
      <c r="M85" s="75"/>
      <c r="N85" s="69"/>
      <c r="O85" s="77" t="s">
        <v>438</v>
      </c>
      <c r="P85" s="79">
        <v>45176.610601851855</v>
      </c>
      <c r="Q85" s="77" t="s">
        <v>522</v>
      </c>
      <c r="R85" s="77">
        <v>1</v>
      </c>
      <c r="S85" s="77">
        <v>1</v>
      </c>
      <c r="T85" s="77">
        <v>1</v>
      </c>
      <c r="U85" s="77">
        <v>0</v>
      </c>
      <c r="V85" s="77">
        <v>18</v>
      </c>
      <c r="W85" s="77"/>
      <c r="X85" s="77"/>
      <c r="Y85" s="77"/>
      <c r="Z85" s="77" t="s">
        <v>403</v>
      </c>
      <c r="AA85" s="77"/>
      <c r="AB85" s="77"/>
      <c r="AC85" s="81" t="s">
        <v>677</v>
      </c>
      <c r="AD85" s="77" t="s">
        <v>686</v>
      </c>
      <c r="AE85" s="83" t="str">
        <f>HYPERLINK("https://twitter.com/vanhopecomedy/status/1699794466289353190")</f>
        <v>https://twitter.com/vanhopecomedy/status/1699794466289353190</v>
      </c>
      <c r="AF85" s="79">
        <v>45176.610601851855</v>
      </c>
      <c r="AG85" s="85">
        <v>45176</v>
      </c>
      <c r="AH85" s="81" t="s">
        <v>767</v>
      </c>
      <c r="AI85" s="77"/>
      <c r="AJ85" s="77" t="s">
        <v>828</v>
      </c>
      <c r="AK85" s="77" t="s">
        <v>849</v>
      </c>
      <c r="AL85" s="77" t="s">
        <v>850</v>
      </c>
      <c r="AM85" s="77" t="s">
        <v>852</v>
      </c>
      <c r="AN85" s="77" t="s">
        <v>874</v>
      </c>
      <c r="AO85" s="77" t="s">
        <v>896</v>
      </c>
      <c r="AP85" s="77" t="s">
        <v>917</v>
      </c>
      <c r="AQ85" s="77"/>
      <c r="AR85" s="77"/>
      <c r="AS85" s="77"/>
      <c r="AT85" s="77"/>
      <c r="AU85" s="77"/>
      <c r="AV85" s="83" t="str">
        <f>HYPERLINK("https://pbs.twimg.com/profile_images/1750247463125147648/0O2pv1Ps_normal.jpg")</f>
        <v>https://pbs.twimg.com/profile_images/1750247463125147648/0O2pv1Ps_normal.jpg</v>
      </c>
      <c r="AW85" s="81" t="s">
        <v>1021</v>
      </c>
      <c r="AX85" s="81" t="s">
        <v>1120</v>
      </c>
      <c r="AY85" s="81" t="s">
        <v>1184</v>
      </c>
      <c r="AZ85" s="81" t="s">
        <v>1120</v>
      </c>
      <c r="BA85" s="81" t="s">
        <v>1210</v>
      </c>
      <c r="BB85" s="81" t="s">
        <v>1210</v>
      </c>
      <c r="BC85" s="81" t="s">
        <v>1120</v>
      </c>
      <c r="BD85" s="81" t="s">
        <v>1270</v>
      </c>
      <c r="BE85" s="77"/>
      <c r="BF85" s="77"/>
      <c r="BG85" s="77"/>
      <c r="BH85" s="77"/>
      <c r="BI85" s="77"/>
      <c r="BJ85">
        <v>1</v>
      </c>
      <c r="BK85" s="76" t="str">
        <f>REPLACE(INDEX(GroupVertices[Group],MATCH("~"&amp;Edges27[[#This Row],[Vertex 1]],GroupVertices[Vertex],0)),1,1,"")</f>
        <v>40</v>
      </c>
      <c r="BL85" s="76" t="str">
        <f>REPLACE(INDEX(GroupVertices[Group],MATCH("~"&amp;Edges27[[#This Row],[Vertex 2]],GroupVertices[Vertex],0)),1,1,"")</f>
        <v>40</v>
      </c>
      <c r="BM85" s="45">
        <v>1</v>
      </c>
      <c r="BN85" s="46">
        <v>4.3478260869565215</v>
      </c>
      <c r="BO85" s="45">
        <v>1</v>
      </c>
      <c r="BP85" s="46">
        <v>4.3478260869565215</v>
      </c>
      <c r="BQ85" s="45">
        <v>0</v>
      </c>
      <c r="BR85" s="46">
        <v>0</v>
      </c>
      <c r="BS85" s="45">
        <v>9</v>
      </c>
      <c r="BT85" s="46">
        <v>39.130434782608695</v>
      </c>
      <c r="BU85" s="45">
        <v>23</v>
      </c>
    </row>
    <row r="86" spans="1:73" ht="15">
      <c r="A86" s="61" t="s">
        <v>297</v>
      </c>
      <c r="B86" s="61" t="s">
        <v>404</v>
      </c>
      <c r="C86" s="62"/>
      <c r="D86" s="63"/>
      <c r="E86" s="64"/>
      <c r="F86" s="65"/>
      <c r="G86" s="62"/>
      <c r="H86" s="66"/>
      <c r="I86" s="67"/>
      <c r="J86" s="67"/>
      <c r="K86" s="31" t="s">
        <v>65</v>
      </c>
      <c r="L86" s="75">
        <v>117</v>
      </c>
      <c r="M86" s="75"/>
      <c r="N86" s="69"/>
      <c r="O86" s="77" t="s">
        <v>438</v>
      </c>
      <c r="P86" s="79">
        <v>45314.781875</v>
      </c>
      <c r="Q86" s="77" t="s">
        <v>523</v>
      </c>
      <c r="R86" s="77">
        <v>0</v>
      </c>
      <c r="S86" s="77">
        <v>1</v>
      </c>
      <c r="T86" s="77">
        <v>0</v>
      </c>
      <c r="U86" s="77">
        <v>0</v>
      </c>
      <c r="V86" s="77">
        <v>50</v>
      </c>
      <c r="W86" s="77"/>
      <c r="X86" s="77"/>
      <c r="Y86" s="77"/>
      <c r="Z86" s="77" t="s">
        <v>404</v>
      </c>
      <c r="AA86" s="77"/>
      <c r="AB86" s="77"/>
      <c r="AC86" s="81" t="s">
        <v>674</v>
      </c>
      <c r="AD86" s="77" t="s">
        <v>686</v>
      </c>
      <c r="AE86" s="83" t="str">
        <f>HYPERLINK("https://twitter.com/foeayem/status/1749866062722809880")</f>
        <v>https://twitter.com/foeayem/status/1749866062722809880</v>
      </c>
      <c r="AF86" s="79">
        <v>45314.781875</v>
      </c>
      <c r="AG86" s="85">
        <v>45314</v>
      </c>
      <c r="AH86" s="81" t="s">
        <v>768</v>
      </c>
      <c r="AI86" s="77"/>
      <c r="AJ86" s="77"/>
      <c r="AK86" s="77"/>
      <c r="AL86" s="77"/>
      <c r="AM86" s="77"/>
      <c r="AN86" s="77"/>
      <c r="AO86" s="77"/>
      <c r="AP86" s="77"/>
      <c r="AQ86" s="77"/>
      <c r="AR86" s="77"/>
      <c r="AS86" s="77"/>
      <c r="AT86" s="77"/>
      <c r="AU86" s="77"/>
      <c r="AV86" s="83" t="str">
        <f>HYPERLINK("https://pbs.twimg.com/profile_images/1575315701489074176/GN-uNm0m_normal.jpg")</f>
        <v>https://pbs.twimg.com/profile_images/1575315701489074176/GN-uNm0m_normal.jpg</v>
      </c>
      <c r="AW86" s="81" t="s">
        <v>1022</v>
      </c>
      <c r="AX86" s="81" t="s">
        <v>1121</v>
      </c>
      <c r="AY86" s="81" t="s">
        <v>1185</v>
      </c>
      <c r="AZ86" s="81" t="s">
        <v>1121</v>
      </c>
      <c r="BA86" s="81" t="s">
        <v>1210</v>
      </c>
      <c r="BB86" s="81" t="s">
        <v>1210</v>
      </c>
      <c r="BC86" s="81" t="s">
        <v>1121</v>
      </c>
      <c r="BD86" s="81" t="s">
        <v>1271</v>
      </c>
      <c r="BE86" s="77"/>
      <c r="BF86" s="77"/>
      <c r="BG86" s="77"/>
      <c r="BH86" s="77"/>
      <c r="BI86" s="77"/>
      <c r="BJ86">
        <v>1</v>
      </c>
      <c r="BK86" s="76" t="str">
        <f>REPLACE(INDEX(GroupVertices[Group],MATCH("~"&amp;Edges27[[#This Row],[Vertex 1]],GroupVertices[Vertex],0)),1,1,"")</f>
        <v>39</v>
      </c>
      <c r="BL86" s="76" t="str">
        <f>REPLACE(INDEX(GroupVertices[Group],MATCH("~"&amp;Edges27[[#This Row],[Vertex 2]],GroupVertices[Vertex],0)),1,1,"")</f>
        <v>39</v>
      </c>
      <c r="BM86" s="45">
        <v>0</v>
      </c>
      <c r="BN86" s="46">
        <v>0</v>
      </c>
      <c r="BO86" s="45">
        <v>4</v>
      </c>
      <c r="BP86" s="46">
        <v>14.814814814814815</v>
      </c>
      <c r="BQ86" s="45">
        <v>0</v>
      </c>
      <c r="BR86" s="46">
        <v>0</v>
      </c>
      <c r="BS86" s="45">
        <v>13</v>
      </c>
      <c r="BT86" s="46">
        <v>48.148148148148145</v>
      </c>
      <c r="BU86" s="45">
        <v>27</v>
      </c>
    </row>
    <row r="87" spans="1:73" ht="15">
      <c r="A87" s="61" t="s">
        <v>298</v>
      </c>
      <c r="B87" s="61" t="s">
        <v>298</v>
      </c>
      <c r="C87" s="62"/>
      <c r="D87" s="63"/>
      <c r="E87" s="64"/>
      <c r="F87" s="65"/>
      <c r="G87" s="62"/>
      <c r="H87" s="66"/>
      <c r="I87" s="67"/>
      <c r="J87" s="67"/>
      <c r="K87" s="31" t="s">
        <v>65</v>
      </c>
      <c r="L87" s="75">
        <v>118</v>
      </c>
      <c r="M87" s="75"/>
      <c r="N87" s="69"/>
      <c r="O87" s="77" t="s">
        <v>178</v>
      </c>
      <c r="P87" s="79">
        <v>45308.96467592593</v>
      </c>
      <c r="Q87" s="77" t="s">
        <v>524</v>
      </c>
      <c r="R87" s="77">
        <v>19</v>
      </c>
      <c r="S87" s="77">
        <v>119</v>
      </c>
      <c r="T87" s="77">
        <v>8</v>
      </c>
      <c r="U87" s="77">
        <v>2</v>
      </c>
      <c r="V87" s="77">
        <v>1788</v>
      </c>
      <c r="W87" s="77"/>
      <c r="X87" s="83" t="str">
        <f>HYPERLINK("https://bit.ly/3SbbYbm")</f>
        <v>https://bit.ly/3SbbYbm</v>
      </c>
      <c r="Y87" s="77" t="s">
        <v>612</v>
      </c>
      <c r="Z87" s="77"/>
      <c r="AA87" s="77" t="s">
        <v>658</v>
      </c>
      <c r="AB87" s="77" t="s">
        <v>671</v>
      </c>
      <c r="AC87" s="81" t="s">
        <v>681</v>
      </c>
      <c r="AD87" s="77" t="s">
        <v>686</v>
      </c>
      <c r="AE87" s="83" t="str">
        <f>HYPERLINK("https://twitter.com/smithtootie/status/1747757980383121613")</f>
        <v>https://twitter.com/smithtootie/status/1747757980383121613</v>
      </c>
      <c r="AF87" s="79">
        <v>45308.96467592593</v>
      </c>
      <c r="AG87" s="85">
        <v>45308</v>
      </c>
      <c r="AH87" s="81" t="s">
        <v>769</v>
      </c>
      <c r="AI87" s="77" t="b">
        <v>0</v>
      </c>
      <c r="AJ87" s="77"/>
      <c r="AK87" s="77"/>
      <c r="AL87" s="77"/>
      <c r="AM87" s="77"/>
      <c r="AN87" s="77"/>
      <c r="AO87" s="77"/>
      <c r="AP87" s="77"/>
      <c r="AQ87" s="77" t="s">
        <v>929</v>
      </c>
      <c r="AR87" s="77"/>
      <c r="AS87" s="77"/>
      <c r="AT87" s="77"/>
      <c r="AU87" s="77"/>
      <c r="AV87" s="83" t="str">
        <f>HYPERLINK("https://pbs.twimg.com/media/GEFInvDXgAAmbsy.jpg")</f>
        <v>https://pbs.twimg.com/media/GEFInvDXgAAmbsy.jpg</v>
      </c>
      <c r="AW87" s="81" t="s">
        <v>1023</v>
      </c>
      <c r="AX87" s="81" t="s">
        <v>1023</v>
      </c>
      <c r="AY87" s="77"/>
      <c r="AZ87" s="81" t="s">
        <v>1210</v>
      </c>
      <c r="BA87" s="81" t="s">
        <v>1210</v>
      </c>
      <c r="BB87" s="81" t="s">
        <v>1210</v>
      </c>
      <c r="BC87" s="81" t="s">
        <v>1023</v>
      </c>
      <c r="BD87" s="77">
        <v>296937534</v>
      </c>
      <c r="BE87" s="77"/>
      <c r="BF87" s="77"/>
      <c r="BG87" s="77"/>
      <c r="BH87" s="77"/>
      <c r="BI87" s="77"/>
      <c r="BJ87">
        <v>1</v>
      </c>
      <c r="BK87" s="76" t="str">
        <f>REPLACE(INDEX(GroupVertices[Group],MATCH("~"&amp;Edges27[[#This Row],[Vertex 1]],GroupVertices[Vertex],0)),1,1,"")</f>
        <v>2</v>
      </c>
      <c r="BL87" s="76" t="str">
        <f>REPLACE(INDEX(GroupVertices[Group],MATCH("~"&amp;Edges27[[#This Row],[Vertex 2]],GroupVertices[Vertex],0)),1,1,"")</f>
        <v>2</v>
      </c>
      <c r="BM87" s="45">
        <v>2</v>
      </c>
      <c r="BN87" s="46">
        <v>6.0606060606060606</v>
      </c>
      <c r="BO87" s="45">
        <v>1</v>
      </c>
      <c r="BP87" s="46">
        <v>3.0303030303030303</v>
      </c>
      <c r="BQ87" s="45">
        <v>0</v>
      </c>
      <c r="BR87" s="46">
        <v>0</v>
      </c>
      <c r="BS87" s="45">
        <v>12</v>
      </c>
      <c r="BT87" s="46">
        <v>36.36363636363637</v>
      </c>
      <c r="BU87" s="45">
        <v>33</v>
      </c>
    </row>
    <row r="88" spans="1:73" ht="15">
      <c r="A88" s="61" t="s">
        <v>299</v>
      </c>
      <c r="B88" s="61" t="s">
        <v>299</v>
      </c>
      <c r="C88" s="62"/>
      <c r="D88" s="63"/>
      <c r="E88" s="64"/>
      <c r="F88" s="65"/>
      <c r="G88" s="62"/>
      <c r="H88" s="66"/>
      <c r="I88" s="67"/>
      <c r="J88" s="67"/>
      <c r="K88" s="31" t="s">
        <v>65</v>
      </c>
      <c r="L88" s="75">
        <v>119</v>
      </c>
      <c r="M88" s="75"/>
      <c r="N88" s="69"/>
      <c r="O88" s="77" t="s">
        <v>178</v>
      </c>
      <c r="P88" s="79">
        <v>44992.46061342592</v>
      </c>
      <c r="Q88" s="77" t="s">
        <v>525</v>
      </c>
      <c r="R88" s="77">
        <v>0</v>
      </c>
      <c r="S88" s="77">
        <v>0</v>
      </c>
      <c r="T88" s="77">
        <v>0</v>
      </c>
      <c r="U88" s="77">
        <v>0</v>
      </c>
      <c r="V88" s="77">
        <v>74</v>
      </c>
      <c r="W88" s="77"/>
      <c r="X88" s="77"/>
      <c r="Y88" s="77"/>
      <c r="Z88" s="77"/>
      <c r="AA88" s="77"/>
      <c r="AB88" s="77"/>
      <c r="AC88" s="81" t="s">
        <v>674</v>
      </c>
      <c r="AD88" s="77" t="s">
        <v>686</v>
      </c>
      <c r="AE88" s="83" t="str">
        <f>HYPERLINK("https://twitter.com/anmolrightnow/status/1633060745029246977")</f>
        <v>https://twitter.com/anmolrightnow/status/1633060745029246977</v>
      </c>
      <c r="AF88" s="79">
        <v>44992.46061342592</v>
      </c>
      <c r="AG88" s="85">
        <v>44992</v>
      </c>
      <c r="AH88" s="81" t="s">
        <v>770</v>
      </c>
      <c r="AI88" s="77"/>
      <c r="AJ88" s="77" t="s">
        <v>828</v>
      </c>
      <c r="AK88" s="77" t="s">
        <v>849</v>
      </c>
      <c r="AL88" s="77" t="s">
        <v>850</v>
      </c>
      <c r="AM88" s="77" t="s">
        <v>852</v>
      </c>
      <c r="AN88" s="77" t="s">
        <v>874</v>
      </c>
      <c r="AO88" s="77" t="s">
        <v>896</v>
      </c>
      <c r="AP88" s="77" t="s">
        <v>917</v>
      </c>
      <c r="AQ88" s="77"/>
      <c r="AR88" s="77"/>
      <c r="AS88" s="77"/>
      <c r="AT88" s="77"/>
      <c r="AU88" s="77"/>
      <c r="AV88" s="83" t="str">
        <f>HYPERLINK("https://pbs.twimg.com/profile_images/1692529067894112256/zxhTLwSr_normal.jpg")</f>
        <v>https://pbs.twimg.com/profile_images/1692529067894112256/zxhTLwSr_normal.jpg</v>
      </c>
      <c r="AW88" s="81" t="s">
        <v>1024</v>
      </c>
      <c r="AX88" s="81" t="s">
        <v>1024</v>
      </c>
      <c r="AY88" s="77"/>
      <c r="AZ88" s="81" t="s">
        <v>1210</v>
      </c>
      <c r="BA88" s="81" t="s">
        <v>1210</v>
      </c>
      <c r="BB88" s="81" t="s">
        <v>1210</v>
      </c>
      <c r="BC88" s="81" t="s">
        <v>1024</v>
      </c>
      <c r="BD88" s="81" t="s">
        <v>1272</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1</v>
      </c>
      <c r="BM88" s="45">
        <v>0</v>
      </c>
      <c r="BN88" s="46">
        <v>0</v>
      </c>
      <c r="BO88" s="45">
        <v>1</v>
      </c>
      <c r="BP88" s="46">
        <v>10</v>
      </c>
      <c r="BQ88" s="45">
        <v>0</v>
      </c>
      <c r="BR88" s="46">
        <v>0</v>
      </c>
      <c r="BS88" s="45">
        <v>4</v>
      </c>
      <c r="BT88" s="46">
        <v>40</v>
      </c>
      <c r="BU88" s="45">
        <v>10</v>
      </c>
    </row>
    <row r="89" spans="1:73" ht="15">
      <c r="A89" s="61" t="s">
        <v>300</v>
      </c>
      <c r="B89" s="61" t="s">
        <v>300</v>
      </c>
      <c r="C89" s="62"/>
      <c r="D89" s="63"/>
      <c r="E89" s="64"/>
      <c r="F89" s="65"/>
      <c r="G89" s="62"/>
      <c r="H89" s="66"/>
      <c r="I89" s="67"/>
      <c r="J89" s="67"/>
      <c r="K89" s="31" t="s">
        <v>65</v>
      </c>
      <c r="L89" s="75">
        <v>120</v>
      </c>
      <c r="M89" s="75"/>
      <c r="N89" s="69"/>
      <c r="O89" s="77" t="s">
        <v>178</v>
      </c>
      <c r="P89" s="79">
        <v>45069.79655092592</v>
      </c>
      <c r="Q89" s="77" t="s">
        <v>526</v>
      </c>
      <c r="R89" s="77">
        <v>0</v>
      </c>
      <c r="S89" s="77">
        <v>0</v>
      </c>
      <c r="T89" s="77">
        <v>0</v>
      </c>
      <c r="U89" s="77">
        <v>0</v>
      </c>
      <c r="V89" s="77">
        <v>18</v>
      </c>
      <c r="W89" s="81" t="s">
        <v>592</v>
      </c>
      <c r="X89" s="83" t="str">
        <f>HYPERLINK("https://www.nytimes.com/interactive/2021/08/11/climate/deaths-pacific-northwest-heat-wave.html?smid=nytcore-android-share")</f>
        <v>https://www.nytimes.com/interactive/2021/08/11/climate/deaths-pacific-northwest-heat-wave.html?smid=nytcore-android-share</v>
      </c>
      <c r="Y89" s="77" t="s">
        <v>606</v>
      </c>
      <c r="Z89" s="77"/>
      <c r="AA89" s="77"/>
      <c r="AB89" s="77"/>
      <c r="AC89" s="81" t="s">
        <v>677</v>
      </c>
      <c r="AD89" s="77" t="s">
        <v>686</v>
      </c>
      <c r="AE89" s="83" t="str">
        <f>HYPERLINK("https://twitter.com/shannoncmallory/status/1661086352597991424")</f>
        <v>https://twitter.com/shannoncmallory/status/1661086352597991424</v>
      </c>
      <c r="AF89" s="79">
        <v>45069.79655092592</v>
      </c>
      <c r="AG89" s="85">
        <v>45069</v>
      </c>
      <c r="AH89" s="81" t="s">
        <v>771</v>
      </c>
      <c r="AI89" s="77" t="b">
        <v>0</v>
      </c>
      <c r="AJ89" s="77" t="s">
        <v>828</v>
      </c>
      <c r="AK89" s="77" t="s">
        <v>849</v>
      </c>
      <c r="AL89" s="77" t="s">
        <v>850</v>
      </c>
      <c r="AM89" s="77" t="s">
        <v>852</v>
      </c>
      <c r="AN89" s="77" t="s">
        <v>874</v>
      </c>
      <c r="AO89" s="77" t="s">
        <v>896</v>
      </c>
      <c r="AP89" s="77" t="s">
        <v>917</v>
      </c>
      <c r="AQ89" s="77"/>
      <c r="AR89" s="77"/>
      <c r="AS89" s="77"/>
      <c r="AT89" s="77"/>
      <c r="AU89" s="77"/>
      <c r="AV89" s="83" t="str">
        <f>HYPERLINK("https://pbs.twimg.com/profile_images/1629689892921020416/6_vXKeEX_normal.jpg")</f>
        <v>https://pbs.twimg.com/profile_images/1629689892921020416/6_vXKeEX_normal.jpg</v>
      </c>
      <c r="AW89" s="81" t="s">
        <v>1025</v>
      </c>
      <c r="AX89" s="81" t="s">
        <v>1025</v>
      </c>
      <c r="AY89" s="77"/>
      <c r="AZ89" s="81" t="s">
        <v>1210</v>
      </c>
      <c r="BA89" s="81" t="s">
        <v>1210</v>
      </c>
      <c r="BB89" s="81" t="s">
        <v>1210</v>
      </c>
      <c r="BC89" s="81" t="s">
        <v>1025</v>
      </c>
      <c r="BD89" s="77">
        <v>2563016869</v>
      </c>
      <c r="BE89" s="77"/>
      <c r="BF89" s="77"/>
      <c r="BG89" s="77"/>
      <c r="BH89" s="77"/>
      <c r="BI89" s="77"/>
      <c r="BJ89">
        <v>1</v>
      </c>
      <c r="BK89" s="76" t="str">
        <f>REPLACE(INDEX(GroupVertices[Group],MATCH("~"&amp;Edges27[[#This Row],[Vertex 1]],GroupVertices[Vertex],0)),1,1,"")</f>
        <v>1</v>
      </c>
      <c r="BL89" s="76" t="str">
        <f>REPLACE(INDEX(GroupVertices[Group],MATCH("~"&amp;Edges27[[#This Row],[Vertex 2]],GroupVertices[Vertex],0)),1,1,"")</f>
        <v>1</v>
      </c>
      <c r="BM89" s="45">
        <v>1</v>
      </c>
      <c r="BN89" s="46">
        <v>7.6923076923076925</v>
      </c>
      <c r="BO89" s="45">
        <v>1</v>
      </c>
      <c r="BP89" s="46">
        <v>7.6923076923076925</v>
      </c>
      <c r="BQ89" s="45">
        <v>0</v>
      </c>
      <c r="BR89" s="46">
        <v>0</v>
      </c>
      <c r="BS89" s="45">
        <v>8</v>
      </c>
      <c r="BT89" s="46">
        <v>61.53846153846154</v>
      </c>
      <c r="BU89" s="45">
        <v>13</v>
      </c>
    </row>
    <row r="90" spans="1:73" ht="15">
      <c r="A90" s="61" t="s">
        <v>301</v>
      </c>
      <c r="B90" s="61" t="s">
        <v>301</v>
      </c>
      <c r="C90" s="62"/>
      <c r="D90" s="63"/>
      <c r="E90" s="64"/>
      <c r="F90" s="65"/>
      <c r="G90" s="62"/>
      <c r="H90" s="66"/>
      <c r="I90" s="67"/>
      <c r="J90" s="67"/>
      <c r="K90" s="31" t="s">
        <v>65</v>
      </c>
      <c r="L90" s="75">
        <v>121</v>
      </c>
      <c r="M90" s="75"/>
      <c r="N90" s="69"/>
      <c r="O90" s="77" t="s">
        <v>178</v>
      </c>
      <c r="P90" s="79">
        <v>45009.85556712963</v>
      </c>
      <c r="Q90" s="77" t="s">
        <v>527</v>
      </c>
      <c r="R90" s="77">
        <v>0</v>
      </c>
      <c r="S90" s="77">
        <v>0</v>
      </c>
      <c r="T90" s="77">
        <v>0</v>
      </c>
      <c r="U90" s="77">
        <v>0</v>
      </c>
      <c r="V90" s="77">
        <v>19</v>
      </c>
      <c r="W90" s="81" t="s">
        <v>593</v>
      </c>
      <c r="X90" s="77"/>
      <c r="Y90" s="77"/>
      <c r="Z90" s="77"/>
      <c r="AA90" s="77" t="s">
        <v>659</v>
      </c>
      <c r="AB90" s="77" t="s">
        <v>672</v>
      </c>
      <c r="AC90" s="81" t="s">
        <v>674</v>
      </c>
      <c r="AD90" s="77" t="s">
        <v>686</v>
      </c>
      <c r="AE90" s="83" t="str">
        <f>HYPERLINK("https://twitter.com/petertaylor_01/status/1639364467489382401")</f>
        <v>https://twitter.com/petertaylor_01/status/1639364467489382401</v>
      </c>
      <c r="AF90" s="79">
        <v>45009.85556712963</v>
      </c>
      <c r="AG90" s="85">
        <v>45009</v>
      </c>
      <c r="AH90" s="81" t="s">
        <v>772</v>
      </c>
      <c r="AI90" s="77" t="b">
        <v>0</v>
      </c>
      <c r="AJ90" s="77" t="s">
        <v>831</v>
      </c>
      <c r="AK90" s="77" t="s">
        <v>849</v>
      </c>
      <c r="AL90" s="77" t="s">
        <v>850</v>
      </c>
      <c r="AM90" s="77" t="s">
        <v>855</v>
      </c>
      <c r="AN90" s="77" t="s">
        <v>877</v>
      </c>
      <c r="AO90" s="77" t="s">
        <v>899</v>
      </c>
      <c r="AP90" s="77" t="s">
        <v>917</v>
      </c>
      <c r="AQ90" s="77" t="s">
        <v>930</v>
      </c>
      <c r="AR90" s="77">
        <v>16033</v>
      </c>
      <c r="AS90" s="77"/>
      <c r="AT90" s="77"/>
      <c r="AU90" s="77"/>
      <c r="AV90" s="83" t="str">
        <f>HYPERLINK("https://pbs.twimg.com/ext_tw_video_thumb/1639364432638902272/pu/img/S2xX0OaanAnsmflF.jpg")</f>
        <v>https://pbs.twimg.com/ext_tw_video_thumb/1639364432638902272/pu/img/S2xX0OaanAnsmflF.jpg</v>
      </c>
      <c r="AW90" s="81" t="s">
        <v>1026</v>
      </c>
      <c r="AX90" s="81" t="s">
        <v>1026</v>
      </c>
      <c r="AY90" s="77"/>
      <c r="AZ90" s="81" t="s">
        <v>1210</v>
      </c>
      <c r="BA90" s="81" t="s">
        <v>1210</v>
      </c>
      <c r="BB90" s="81" t="s">
        <v>1210</v>
      </c>
      <c r="BC90" s="81" t="s">
        <v>1026</v>
      </c>
      <c r="BD90" s="81" t="s">
        <v>1273</v>
      </c>
      <c r="BE90" s="77"/>
      <c r="BF90" s="77"/>
      <c r="BG90" s="77"/>
      <c r="BH90" s="77"/>
      <c r="BI90" s="77"/>
      <c r="BJ90">
        <v>1</v>
      </c>
      <c r="BK90" s="76" t="str">
        <f>REPLACE(INDEX(GroupVertices[Group],MATCH("~"&amp;Edges27[[#This Row],[Vertex 1]],GroupVertices[Vertex],0)),1,1,"")</f>
        <v>1</v>
      </c>
      <c r="BL90" s="76" t="str">
        <f>REPLACE(INDEX(GroupVertices[Group],MATCH("~"&amp;Edges27[[#This Row],[Vertex 2]],GroupVertices[Vertex],0)),1,1,"")</f>
        <v>1</v>
      </c>
      <c r="BM90" s="45">
        <v>2</v>
      </c>
      <c r="BN90" s="46">
        <v>4.444444444444445</v>
      </c>
      <c r="BO90" s="45">
        <v>3</v>
      </c>
      <c r="BP90" s="46">
        <v>6.666666666666667</v>
      </c>
      <c r="BQ90" s="45">
        <v>0</v>
      </c>
      <c r="BR90" s="46">
        <v>0</v>
      </c>
      <c r="BS90" s="45">
        <v>16</v>
      </c>
      <c r="BT90" s="46">
        <v>35.55555555555556</v>
      </c>
      <c r="BU90" s="45">
        <v>45</v>
      </c>
    </row>
    <row r="91" spans="1:73" ht="15">
      <c r="A91" s="61" t="s">
        <v>302</v>
      </c>
      <c r="B91" s="61" t="s">
        <v>302</v>
      </c>
      <c r="C91" s="62"/>
      <c r="D91" s="63"/>
      <c r="E91" s="64"/>
      <c r="F91" s="65"/>
      <c r="G91" s="62"/>
      <c r="H91" s="66"/>
      <c r="I91" s="67"/>
      <c r="J91" s="67"/>
      <c r="K91" s="31" t="s">
        <v>65</v>
      </c>
      <c r="L91" s="75">
        <v>122</v>
      </c>
      <c r="M91" s="75"/>
      <c r="N91" s="69"/>
      <c r="O91" s="77" t="s">
        <v>178</v>
      </c>
      <c r="P91" s="79">
        <v>45251.98621527778</v>
      </c>
      <c r="Q91" s="77" t="s">
        <v>528</v>
      </c>
      <c r="R91" s="77">
        <v>0</v>
      </c>
      <c r="S91" s="77">
        <v>0</v>
      </c>
      <c r="T91" s="77">
        <v>0</v>
      </c>
      <c r="U91" s="77">
        <v>0</v>
      </c>
      <c r="V91" s="77">
        <v>29</v>
      </c>
      <c r="W91" s="77"/>
      <c r="X91" s="77"/>
      <c r="Y91" s="77"/>
      <c r="Z91" s="77"/>
      <c r="AA91" s="77"/>
      <c r="AB91" s="77"/>
      <c r="AC91" s="81" t="s">
        <v>674</v>
      </c>
      <c r="AD91" s="77" t="s">
        <v>686</v>
      </c>
      <c r="AE91" s="83" t="str">
        <f>HYPERLINK("https://twitter.com/alexiislex/status/1727109675538362542")</f>
        <v>https://twitter.com/alexiislex/status/1727109675538362542</v>
      </c>
      <c r="AF91" s="79">
        <v>45251.98621527778</v>
      </c>
      <c r="AG91" s="85">
        <v>45251</v>
      </c>
      <c r="AH91" s="81" t="s">
        <v>773</v>
      </c>
      <c r="AI91" s="77"/>
      <c r="AJ91" s="77" t="s">
        <v>828</v>
      </c>
      <c r="AK91" s="77" t="s">
        <v>849</v>
      </c>
      <c r="AL91" s="77" t="s">
        <v>850</v>
      </c>
      <c r="AM91" s="77" t="s">
        <v>852</v>
      </c>
      <c r="AN91" s="77" t="s">
        <v>874</v>
      </c>
      <c r="AO91" s="77" t="s">
        <v>896</v>
      </c>
      <c r="AP91" s="77" t="s">
        <v>917</v>
      </c>
      <c r="AQ91" s="77"/>
      <c r="AR91" s="77"/>
      <c r="AS91" s="77"/>
      <c r="AT91" s="77"/>
      <c r="AU91" s="77"/>
      <c r="AV91" s="83" t="str">
        <f>HYPERLINK("https://pbs.twimg.com/profile_images/1743439784306233344/etKgqrKH_normal.jpg")</f>
        <v>https://pbs.twimg.com/profile_images/1743439784306233344/etKgqrKH_normal.jpg</v>
      </c>
      <c r="AW91" s="81" t="s">
        <v>1027</v>
      </c>
      <c r="AX91" s="81" t="s">
        <v>1027</v>
      </c>
      <c r="AY91" s="77"/>
      <c r="AZ91" s="81" t="s">
        <v>1210</v>
      </c>
      <c r="BA91" s="81" t="s">
        <v>1210</v>
      </c>
      <c r="BB91" s="81" t="s">
        <v>1210</v>
      </c>
      <c r="BC91" s="81" t="s">
        <v>1027</v>
      </c>
      <c r="BD91" s="81" t="s">
        <v>1274</v>
      </c>
      <c r="BE91" s="77"/>
      <c r="BF91" s="77"/>
      <c r="BG91" s="77"/>
      <c r="BH91" s="77"/>
      <c r="BI91" s="77"/>
      <c r="BJ91">
        <v>1</v>
      </c>
      <c r="BK91" s="76" t="str">
        <f>REPLACE(INDEX(GroupVertices[Group],MATCH("~"&amp;Edges27[[#This Row],[Vertex 1]],GroupVertices[Vertex],0)),1,1,"")</f>
        <v>1</v>
      </c>
      <c r="BL91" s="76" t="str">
        <f>REPLACE(INDEX(GroupVertices[Group],MATCH("~"&amp;Edges27[[#This Row],[Vertex 2]],GroupVertices[Vertex],0)),1,1,"")</f>
        <v>1</v>
      </c>
      <c r="BM91" s="45">
        <v>0</v>
      </c>
      <c r="BN91" s="46">
        <v>0</v>
      </c>
      <c r="BO91" s="45">
        <v>3</v>
      </c>
      <c r="BP91" s="46">
        <v>12</v>
      </c>
      <c r="BQ91" s="45">
        <v>0</v>
      </c>
      <c r="BR91" s="46">
        <v>0</v>
      </c>
      <c r="BS91" s="45">
        <v>11</v>
      </c>
      <c r="BT91" s="46">
        <v>44</v>
      </c>
      <c r="BU91" s="45">
        <v>25</v>
      </c>
    </row>
    <row r="92" spans="1:73" ht="15">
      <c r="A92" s="61" t="s">
        <v>303</v>
      </c>
      <c r="B92" s="61" t="s">
        <v>405</v>
      </c>
      <c r="C92" s="62"/>
      <c r="D92" s="63"/>
      <c r="E92" s="64"/>
      <c r="F92" s="65"/>
      <c r="G92" s="62"/>
      <c r="H92" s="66"/>
      <c r="I92" s="67"/>
      <c r="J92" s="67"/>
      <c r="K92" s="31" t="s">
        <v>65</v>
      </c>
      <c r="L92" s="75">
        <v>123</v>
      </c>
      <c r="M92" s="75"/>
      <c r="N92" s="69"/>
      <c r="O92" s="77" t="s">
        <v>438</v>
      </c>
      <c r="P92" s="79">
        <v>44968.8665625</v>
      </c>
      <c r="Q92" s="77" t="s">
        <v>529</v>
      </c>
      <c r="R92" s="77">
        <v>0</v>
      </c>
      <c r="S92" s="77">
        <v>0</v>
      </c>
      <c r="T92" s="77">
        <v>0</v>
      </c>
      <c r="U92" s="77">
        <v>0</v>
      </c>
      <c r="V92" s="77">
        <v>4</v>
      </c>
      <c r="W92" s="77"/>
      <c r="X92" s="77"/>
      <c r="Y92" s="77"/>
      <c r="Z92" s="77" t="s">
        <v>405</v>
      </c>
      <c r="AA92" s="77"/>
      <c r="AB92" s="77"/>
      <c r="AC92" s="81" t="s">
        <v>677</v>
      </c>
      <c r="AD92" s="77" t="s">
        <v>686</v>
      </c>
      <c r="AE92" s="83" t="str">
        <f>HYPERLINK("https://twitter.com/dickmar52/status/1624510550893035520")</f>
        <v>https://twitter.com/dickmar52/status/1624510550893035520</v>
      </c>
      <c r="AF92" s="79">
        <v>44968.8665625</v>
      </c>
      <c r="AG92" s="85">
        <v>44968</v>
      </c>
      <c r="AH92" s="81" t="s">
        <v>774</v>
      </c>
      <c r="AI92" s="77"/>
      <c r="AJ92" s="77" t="s">
        <v>831</v>
      </c>
      <c r="AK92" s="77" t="s">
        <v>849</v>
      </c>
      <c r="AL92" s="77" t="s">
        <v>850</v>
      </c>
      <c r="AM92" s="77" t="s">
        <v>855</v>
      </c>
      <c r="AN92" s="77" t="s">
        <v>877</v>
      </c>
      <c r="AO92" s="77" t="s">
        <v>899</v>
      </c>
      <c r="AP92" s="77" t="s">
        <v>917</v>
      </c>
      <c r="AQ92" s="77"/>
      <c r="AR92" s="77"/>
      <c r="AS92" s="77"/>
      <c r="AT92" s="77"/>
      <c r="AU92" s="77"/>
      <c r="AV92" s="83" t="str">
        <f>HYPERLINK("https://pbs.twimg.com/profile_images/1344484370715840513/NBcFRkDf_normal.jpg")</f>
        <v>https://pbs.twimg.com/profile_images/1344484370715840513/NBcFRkDf_normal.jpg</v>
      </c>
      <c r="AW92" s="81" t="s">
        <v>1028</v>
      </c>
      <c r="AX92" s="81" t="s">
        <v>1122</v>
      </c>
      <c r="AY92" s="81" t="s">
        <v>1186</v>
      </c>
      <c r="AZ92" s="81" t="s">
        <v>1122</v>
      </c>
      <c r="BA92" s="81" t="s">
        <v>1210</v>
      </c>
      <c r="BB92" s="81" t="s">
        <v>1210</v>
      </c>
      <c r="BC92" s="81" t="s">
        <v>1122</v>
      </c>
      <c r="BD92" s="77">
        <v>1717931833</v>
      </c>
      <c r="BE92" s="77"/>
      <c r="BF92" s="77"/>
      <c r="BG92" s="77"/>
      <c r="BH92" s="77"/>
      <c r="BI92" s="77"/>
      <c r="BJ92">
        <v>1</v>
      </c>
      <c r="BK92" s="76" t="str">
        <f>REPLACE(INDEX(GroupVertices[Group],MATCH("~"&amp;Edges27[[#This Row],[Vertex 1]],GroupVertices[Vertex],0)),1,1,"")</f>
        <v>38</v>
      </c>
      <c r="BL92" s="76" t="str">
        <f>REPLACE(INDEX(GroupVertices[Group],MATCH("~"&amp;Edges27[[#This Row],[Vertex 2]],GroupVertices[Vertex],0)),1,1,"")</f>
        <v>38</v>
      </c>
      <c r="BM92" s="45">
        <v>3</v>
      </c>
      <c r="BN92" s="46">
        <v>13.636363636363637</v>
      </c>
      <c r="BO92" s="45">
        <v>1</v>
      </c>
      <c r="BP92" s="46">
        <v>4.545454545454546</v>
      </c>
      <c r="BQ92" s="45">
        <v>0</v>
      </c>
      <c r="BR92" s="46">
        <v>0</v>
      </c>
      <c r="BS92" s="45">
        <v>10</v>
      </c>
      <c r="BT92" s="46">
        <v>45.45454545454545</v>
      </c>
      <c r="BU92" s="45">
        <v>22</v>
      </c>
    </row>
    <row r="93" spans="1:73" ht="15">
      <c r="A93" s="61" t="s">
        <v>304</v>
      </c>
      <c r="B93" s="61" t="s">
        <v>350</v>
      </c>
      <c r="C93" s="62"/>
      <c r="D93" s="63"/>
      <c r="E93" s="64"/>
      <c r="F93" s="65"/>
      <c r="G93" s="62"/>
      <c r="H93" s="66"/>
      <c r="I93" s="67"/>
      <c r="J93" s="67"/>
      <c r="K93" s="31" t="s">
        <v>65</v>
      </c>
      <c r="L93" s="75">
        <v>124</v>
      </c>
      <c r="M93" s="75"/>
      <c r="N93" s="69"/>
      <c r="O93" s="77" t="s">
        <v>439</v>
      </c>
      <c r="P93" s="79">
        <v>45319.726851851854</v>
      </c>
      <c r="Q93" s="77" t="s">
        <v>530</v>
      </c>
      <c r="R93" s="77">
        <v>42</v>
      </c>
      <c r="S93" s="77">
        <v>174</v>
      </c>
      <c r="T93" s="77">
        <v>16</v>
      </c>
      <c r="U93" s="77">
        <v>2</v>
      </c>
      <c r="V93" s="77">
        <v>3873</v>
      </c>
      <c r="W93" s="77"/>
      <c r="X93" s="77"/>
      <c r="Y93" s="77"/>
      <c r="Z93" s="77"/>
      <c r="AA93" s="77"/>
      <c r="AB93" s="77"/>
      <c r="AC93" s="81" t="s">
        <v>674</v>
      </c>
      <c r="AD93" s="77" t="s">
        <v>686</v>
      </c>
      <c r="AE93" s="83" t="str">
        <f>HYPERLINK("https://twitter.com/benedtl/status/1751658059280318776")</f>
        <v>https://twitter.com/benedtl/status/1751658059280318776</v>
      </c>
      <c r="AF93" s="79">
        <v>45319.726851851854</v>
      </c>
      <c r="AG93" s="85">
        <v>45319</v>
      </c>
      <c r="AH93" s="81" t="s">
        <v>775</v>
      </c>
      <c r="AI93" s="77"/>
      <c r="AJ93" s="77" t="s">
        <v>843</v>
      </c>
      <c r="AK93" s="77" t="s">
        <v>849</v>
      </c>
      <c r="AL93" s="77" t="s">
        <v>850</v>
      </c>
      <c r="AM93" s="77" t="s">
        <v>867</v>
      </c>
      <c r="AN93" s="77" t="s">
        <v>889</v>
      </c>
      <c r="AO93" s="77" t="s">
        <v>911</v>
      </c>
      <c r="AP93" s="77" t="s">
        <v>917</v>
      </c>
      <c r="AQ93" s="77"/>
      <c r="AR93" s="77"/>
      <c r="AS93" s="77"/>
      <c r="AT93" s="77"/>
      <c r="AU93" s="77"/>
      <c r="AV93" s="83" t="str">
        <f>HYPERLINK("https://pbs.twimg.com/profile_images/1729138548996202496/sqt-CmDG_normal.jpg")</f>
        <v>https://pbs.twimg.com/profile_images/1729138548996202496/sqt-CmDG_normal.jpg</v>
      </c>
      <c r="AW93" s="81" t="s">
        <v>1029</v>
      </c>
      <c r="AX93" s="81" t="s">
        <v>1029</v>
      </c>
      <c r="AY93" s="77"/>
      <c r="AZ93" s="81" t="s">
        <v>1210</v>
      </c>
      <c r="BA93" s="81" t="s">
        <v>1102</v>
      </c>
      <c r="BB93" s="81" t="s">
        <v>1210</v>
      </c>
      <c r="BC93" s="81" t="s">
        <v>1102</v>
      </c>
      <c r="BD93" s="77">
        <v>49103785</v>
      </c>
      <c r="BE93" s="77"/>
      <c r="BF93" s="77"/>
      <c r="BG93" s="77"/>
      <c r="BH93" s="77"/>
      <c r="BI93" s="77"/>
      <c r="BJ93">
        <v>1</v>
      </c>
      <c r="BK93" s="76" t="str">
        <f>REPLACE(INDEX(GroupVertices[Group],MATCH("~"&amp;Edges27[[#This Row],[Vertex 1]],GroupVertices[Vertex],0)),1,1,"")</f>
        <v>2</v>
      </c>
      <c r="BL93" s="76" t="str">
        <f>REPLACE(INDEX(GroupVertices[Group],MATCH("~"&amp;Edges27[[#This Row],[Vertex 2]],GroupVertices[Vertex],0)),1,1,"")</f>
        <v>2</v>
      </c>
      <c r="BM93" s="45">
        <v>0</v>
      </c>
      <c r="BN93" s="46">
        <v>0</v>
      </c>
      <c r="BO93" s="45">
        <v>1</v>
      </c>
      <c r="BP93" s="46">
        <v>4.166666666666667</v>
      </c>
      <c r="BQ93" s="45">
        <v>0</v>
      </c>
      <c r="BR93" s="46">
        <v>0</v>
      </c>
      <c r="BS93" s="45">
        <v>10</v>
      </c>
      <c r="BT93" s="46">
        <v>41.666666666666664</v>
      </c>
      <c r="BU93" s="45">
        <v>24</v>
      </c>
    </row>
    <row r="94" spans="1:73" ht="15">
      <c r="A94" s="61" t="s">
        <v>305</v>
      </c>
      <c r="B94" s="61" t="s">
        <v>305</v>
      </c>
      <c r="C94" s="62"/>
      <c r="D94" s="63"/>
      <c r="E94" s="64"/>
      <c r="F94" s="65"/>
      <c r="G94" s="62"/>
      <c r="H94" s="66"/>
      <c r="I94" s="67"/>
      <c r="J94" s="67"/>
      <c r="K94" s="31" t="s">
        <v>65</v>
      </c>
      <c r="L94" s="75">
        <v>125</v>
      </c>
      <c r="M94" s="75"/>
      <c r="N94" s="69"/>
      <c r="O94" s="77" t="s">
        <v>178</v>
      </c>
      <c r="P94" s="79">
        <v>45044.789988425924</v>
      </c>
      <c r="Q94" s="77" t="s">
        <v>531</v>
      </c>
      <c r="R94" s="77">
        <v>6058</v>
      </c>
      <c r="S94" s="77">
        <v>14148</v>
      </c>
      <c r="T94" s="77">
        <v>701</v>
      </c>
      <c r="U94" s="77">
        <v>740</v>
      </c>
      <c r="V94" s="77">
        <v>2479048</v>
      </c>
      <c r="W94" s="77"/>
      <c r="X94" s="83" t="str">
        <f>HYPERLINK("https://www.businessinsider.com/jane-roberts-chief-justice-wife-10-million-commissions-2023-4")</f>
        <v>https://www.businessinsider.com/jane-roberts-chief-justice-wife-10-million-commissions-2023-4</v>
      </c>
      <c r="Y94" s="77" t="s">
        <v>613</v>
      </c>
      <c r="Z94" s="77"/>
      <c r="AA94" s="77" t="s">
        <v>660</v>
      </c>
      <c r="AB94" s="77" t="s">
        <v>671</v>
      </c>
      <c r="AC94" s="81" t="s">
        <v>674</v>
      </c>
      <c r="AD94" s="77" t="s">
        <v>686</v>
      </c>
      <c r="AE94" s="83" t="str">
        <f>HYPERLINK("https://twitter.com/sawyerhackett/status/1652024275446972424")</f>
        <v>https://twitter.com/sawyerhackett/status/1652024275446972424</v>
      </c>
      <c r="AF94" s="79">
        <v>45044.789988425924</v>
      </c>
      <c r="AG94" s="85">
        <v>45044</v>
      </c>
      <c r="AH94" s="81" t="s">
        <v>776</v>
      </c>
      <c r="AI94" s="77" t="b">
        <v>0</v>
      </c>
      <c r="AJ94" s="77"/>
      <c r="AK94" s="77"/>
      <c r="AL94" s="77"/>
      <c r="AM94" s="77"/>
      <c r="AN94" s="77"/>
      <c r="AO94" s="77"/>
      <c r="AP94" s="77"/>
      <c r="AQ94" s="77" t="s">
        <v>931</v>
      </c>
      <c r="AR94" s="77"/>
      <c r="AS94" s="77"/>
      <c r="AT94" s="77"/>
      <c r="AU94" s="77"/>
      <c r="AV94" s="83" t="str">
        <f>HYPERLINK("https://pbs.twimg.com/media/Fu0rTeAWwBAl-Fd.jpg")</f>
        <v>https://pbs.twimg.com/media/Fu0rTeAWwBAl-Fd.jpg</v>
      </c>
      <c r="AW94" s="81" t="s">
        <v>1030</v>
      </c>
      <c r="AX94" s="81" t="s">
        <v>1030</v>
      </c>
      <c r="AY94" s="77"/>
      <c r="AZ94" s="81" t="s">
        <v>1210</v>
      </c>
      <c r="BA94" s="81" t="s">
        <v>1210</v>
      </c>
      <c r="BB94" s="81" t="s">
        <v>1210</v>
      </c>
      <c r="BC94" s="81" t="s">
        <v>1030</v>
      </c>
      <c r="BD94" s="77">
        <v>219141142</v>
      </c>
      <c r="BE94" s="77"/>
      <c r="BF94" s="77"/>
      <c r="BG94" s="77"/>
      <c r="BH94" s="77"/>
      <c r="BI94" s="77"/>
      <c r="BJ94">
        <v>1</v>
      </c>
      <c r="BK94" s="76" t="str">
        <f>REPLACE(INDEX(GroupVertices[Group],MATCH("~"&amp;Edges27[[#This Row],[Vertex 1]],GroupVertices[Vertex],0)),1,1,"")</f>
        <v>41</v>
      </c>
      <c r="BL94" s="76" t="str">
        <f>REPLACE(INDEX(GroupVertices[Group],MATCH("~"&amp;Edges27[[#This Row],[Vertex 2]],GroupVertices[Vertex],0)),1,1,"")</f>
        <v>41</v>
      </c>
      <c r="BM94" s="45">
        <v>2</v>
      </c>
      <c r="BN94" s="46">
        <v>4.444444444444445</v>
      </c>
      <c r="BO94" s="45">
        <v>0</v>
      </c>
      <c r="BP94" s="46">
        <v>0</v>
      </c>
      <c r="BQ94" s="45">
        <v>0</v>
      </c>
      <c r="BR94" s="46">
        <v>0</v>
      </c>
      <c r="BS94" s="45">
        <v>26</v>
      </c>
      <c r="BT94" s="46">
        <v>57.77777777777778</v>
      </c>
      <c r="BU94" s="45">
        <v>45</v>
      </c>
    </row>
    <row r="95" spans="1:73" ht="15">
      <c r="A95" s="61" t="s">
        <v>306</v>
      </c>
      <c r="B95" s="61" t="s">
        <v>406</v>
      </c>
      <c r="C95" s="62"/>
      <c r="D95" s="63"/>
      <c r="E95" s="64"/>
      <c r="F95" s="65"/>
      <c r="G95" s="62"/>
      <c r="H95" s="66"/>
      <c r="I95" s="67"/>
      <c r="J95" s="67"/>
      <c r="K95" s="31" t="s">
        <v>65</v>
      </c>
      <c r="L95" s="75">
        <v>126</v>
      </c>
      <c r="M95" s="75"/>
      <c r="N95" s="69"/>
      <c r="O95" s="77" t="s">
        <v>437</v>
      </c>
      <c r="P95" s="79">
        <v>45319.822164351855</v>
      </c>
      <c r="Q95" s="77" t="s">
        <v>532</v>
      </c>
      <c r="R95" s="77">
        <v>0</v>
      </c>
      <c r="S95" s="77">
        <v>1</v>
      </c>
      <c r="T95" s="77">
        <v>1</v>
      </c>
      <c r="U95" s="77">
        <v>0</v>
      </c>
      <c r="V95" s="77">
        <v>27</v>
      </c>
      <c r="W95" s="77"/>
      <c r="X95" s="83" t="str">
        <f>HYPERLINK("https://www.voanews.com/a/gaza-death-toll-climbs-above-26-000-health-ministry-reports/7458258.html")</f>
        <v>https://www.voanews.com/a/gaza-death-toll-climbs-above-26-000-health-ministry-reports/7458258.html</v>
      </c>
      <c r="Y95" s="77" t="s">
        <v>614</v>
      </c>
      <c r="Z95" s="77" t="s">
        <v>638</v>
      </c>
      <c r="AA95" s="77"/>
      <c r="AB95" s="77"/>
      <c r="AC95" s="81" t="s">
        <v>677</v>
      </c>
      <c r="AD95" s="77" t="s">
        <v>686</v>
      </c>
      <c r="AE95" s="83" t="str">
        <f>HYPERLINK("https://twitter.com/pdxsburning/status/1751692600908902683")</f>
        <v>https://twitter.com/pdxsburning/status/1751692600908902683</v>
      </c>
      <c r="AF95" s="79">
        <v>45319.822164351855</v>
      </c>
      <c r="AG95" s="85">
        <v>45319</v>
      </c>
      <c r="AH95" s="81" t="s">
        <v>777</v>
      </c>
      <c r="AI95" s="77" t="b">
        <v>0</v>
      </c>
      <c r="AJ95" s="77"/>
      <c r="AK95" s="77"/>
      <c r="AL95" s="77"/>
      <c r="AM95" s="77"/>
      <c r="AN95" s="77"/>
      <c r="AO95" s="77"/>
      <c r="AP95" s="77"/>
      <c r="AQ95" s="77"/>
      <c r="AR95" s="77"/>
      <c r="AS95" s="77"/>
      <c r="AT95" s="77"/>
      <c r="AU95" s="77"/>
      <c r="AV95" s="83" t="str">
        <f>HYPERLINK("https://pbs.twimg.com/profile_images/1507397934769344514/c2CFljRv_normal.jpg")</f>
        <v>https://pbs.twimg.com/profile_images/1507397934769344514/c2CFljRv_normal.jpg</v>
      </c>
      <c r="AW95" s="81" t="s">
        <v>1031</v>
      </c>
      <c r="AX95" s="81" t="s">
        <v>1123</v>
      </c>
      <c r="AY95" s="81" t="s">
        <v>1187</v>
      </c>
      <c r="AZ95" s="81" t="s">
        <v>1225</v>
      </c>
      <c r="BA95" s="81" t="s">
        <v>1210</v>
      </c>
      <c r="BB95" s="81" t="s">
        <v>1210</v>
      </c>
      <c r="BC95" s="81" t="s">
        <v>1225</v>
      </c>
      <c r="BD95" s="81" t="s">
        <v>1187</v>
      </c>
      <c r="BE95" s="77"/>
      <c r="BF95" s="77"/>
      <c r="BG95" s="77"/>
      <c r="BH95" s="77"/>
      <c r="BI95" s="77"/>
      <c r="BJ95">
        <v>1</v>
      </c>
      <c r="BK95" s="76" t="str">
        <f>REPLACE(INDEX(GroupVertices[Group],MATCH("~"&amp;Edges27[[#This Row],[Vertex 1]],GroupVertices[Vertex],0)),1,1,"")</f>
        <v>15</v>
      </c>
      <c r="BL95" s="76" t="str">
        <f>REPLACE(INDEX(GroupVertices[Group],MATCH("~"&amp;Edges27[[#This Row],[Vertex 2]],GroupVertices[Vertex],0)),1,1,"")</f>
        <v>15</v>
      </c>
      <c r="BM95" s="45"/>
      <c r="BN95" s="46"/>
      <c r="BO95" s="45"/>
      <c r="BP95" s="46"/>
      <c r="BQ95" s="45"/>
      <c r="BR95" s="46"/>
      <c r="BS95" s="45"/>
      <c r="BT95" s="46"/>
      <c r="BU95" s="45"/>
    </row>
    <row r="96" spans="1:73" ht="15">
      <c r="A96" s="61" t="s">
        <v>307</v>
      </c>
      <c r="B96" s="61" t="s">
        <v>320</v>
      </c>
      <c r="C96" s="62"/>
      <c r="D96" s="63"/>
      <c r="E96" s="64"/>
      <c r="F96" s="65"/>
      <c r="G96" s="62"/>
      <c r="H96" s="66"/>
      <c r="I96" s="67"/>
      <c r="J96" s="67"/>
      <c r="K96" s="31" t="s">
        <v>65</v>
      </c>
      <c r="L96" s="75">
        <v>129</v>
      </c>
      <c r="M96" s="75"/>
      <c r="N96" s="69"/>
      <c r="O96" s="77" t="s">
        <v>439</v>
      </c>
      <c r="P96" s="79">
        <v>45228.927141203705</v>
      </c>
      <c r="Q96" s="77" t="s">
        <v>533</v>
      </c>
      <c r="R96" s="77">
        <v>0</v>
      </c>
      <c r="S96" s="77">
        <v>0</v>
      </c>
      <c r="T96" s="77">
        <v>0</v>
      </c>
      <c r="U96" s="77">
        <v>0</v>
      </c>
      <c r="V96" s="77">
        <v>59</v>
      </c>
      <c r="W96" s="81" t="s">
        <v>594</v>
      </c>
      <c r="X96" s="77"/>
      <c r="Y96" s="77"/>
      <c r="Z96" s="77"/>
      <c r="AA96" s="77"/>
      <c r="AB96" s="77"/>
      <c r="AC96" s="81" t="s">
        <v>674</v>
      </c>
      <c r="AD96" s="77" t="s">
        <v>686</v>
      </c>
      <c r="AE96" s="83" t="str">
        <f>HYPERLINK("https://twitter.com/hannahcrazyhawk/status/1718753345513677013")</f>
        <v>https://twitter.com/hannahcrazyhawk/status/1718753345513677013</v>
      </c>
      <c r="AF96" s="79">
        <v>45228.927141203705</v>
      </c>
      <c r="AG96" s="85">
        <v>45228</v>
      </c>
      <c r="AH96" s="81" t="s">
        <v>778</v>
      </c>
      <c r="AI96" s="77"/>
      <c r="AJ96" s="77" t="s">
        <v>844</v>
      </c>
      <c r="AK96" s="77" t="s">
        <v>849</v>
      </c>
      <c r="AL96" s="77" t="s">
        <v>850</v>
      </c>
      <c r="AM96" s="77" t="s">
        <v>868</v>
      </c>
      <c r="AN96" s="77" t="s">
        <v>890</v>
      </c>
      <c r="AO96" s="77" t="s">
        <v>912</v>
      </c>
      <c r="AP96" s="77" t="s">
        <v>917</v>
      </c>
      <c r="AQ96" s="77"/>
      <c r="AR96" s="77"/>
      <c r="AS96" s="77"/>
      <c r="AT96" s="77"/>
      <c r="AU96" s="77"/>
      <c r="AV96" s="83" t="str">
        <f>HYPERLINK("https://pbs.twimg.com/profile_images/1596714154340937728/ljbAcB07_normal.jpg")</f>
        <v>https://pbs.twimg.com/profile_images/1596714154340937728/ljbAcB07_normal.jpg</v>
      </c>
      <c r="AW96" s="81" t="s">
        <v>1032</v>
      </c>
      <c r="AX96" s="81" t="s">
        <v>1032</v>
      </c>
      <c r="AY96" s="77"/>
      <c r="AZ96" s="81" t="s">
        <v>1210</v>
      </c>
      <c r="BA96" s="81" t="s">
        <v>1058</v>
      </c>
      <c r="BB96" s="81" t="s">
        <v>1210</v>
      </c>
      <c r="BC96" s="81" t="s">
        <v>1058</v>
      </c>
      <c r="BD96" s="77">
        <v>157617240</v>
      </c>
      <c r="BE96" s="77"/>
      <c r="BF96" s="77"/>
      <c r="BG96" s="77"/>
      <c r="BH96" s="77"/>
      <c r="BI96" s="77"/>
      <c r="BJ96">
        <v>1</v>
      </c>
      <c r="BK96" s="76" t="str">
        <f>REPLACE(INDEX(GroupVertices[Group],MATCH("~"&amp;Edges27[[#This Row],[Vertex 1]],GroupVertices[Vertex],0)),1,1,"")</f>
        <v>37</v>
      </c>
      <c r="BL96" s="76" t="str">
        <f>REPLACE(INDEX(GroupVertices[Group],MATCH("~"&amp;Edges27[[#This Row],[Vertex 2]],GroupVertices[Vertex],0)),1,1,"")</f>
        <v>37</v>
      </c>
      <c r="BM96" s="45">
        <v>0</v>
      </c>
      <c r="BN96" s="46">
        <v>0</v>
      </c>
      <c r="BO96" s="45">
        <v>4</v>
      </c>
      <c r="BP96" s="46">
        <v>7.2727272727272725</v>
      </c>
      <c r="BQ96" s="45">
        <v>0</v>
      </c>
      <c r="BR96" s="46">
        <v>0</v>
      </c>
      <c r="BS96" s="45">
        <v>19</v>
      </c>
      <c r="BT96" s="46">
        <v>34.54545454545455</v>
      </c>
      <c r="BU96" s="45">
        <v>55</v>
      </c>
    </row>
    <row r="97" spans="1:73" ht="15">
      <c r="A97" s="61" t="s">
        <v>308</v>
      </c>
      <c r="B97" s="61" t="s">
        <v>408</v>
      </c>
      <c r="C97" s="62"/>
      <c r="D97" s="63"/>
      <c r="E97" s="64"/>
      <c r="F97" s="65"/>
      <c r="G97" s="62"/>
      <c r="H97" s="66"/>
      <c r="I97" s="67"/>
      <c r="J97" s="67"/>
      <c r="K97" s="31" t="s">
        <v>65</v>
      </c>
      <c r="L97" s="75">
        <v>130</v>
      </c>
      <c r="M97" s="75"/>
      <c r="N97" s="69"/>
      <c r="O97" s="77" t="s">
        <v>438</v>
      </c>
      <c r="P97" s="79">
        <v>45157.66633101852</v>
      </c>
      <c r="Q97" s="77" t="s">
        <v>534</v>
      </c>
      <c r="R97" s="77">
        <v>1</v>
      </c>
      <c r="S97" s="77">
        <v>1</v>
      </c>
      <c r="T97" s="77">
        <v>0</v>
      </c>
      <c r="U97" s="77">
        <v>0</v>
      </c>
      <c r="V97" s="77">
        <v>134</v>
      </c>
      <c r="W97" s="77"/>
      <c r="X97" s="77"/>
      <c r="Y97" s="77"/>
      <c r="Z97" s="77" t="s">
        <v>408</v>
      </c>
      <c r="AA97" s="77"/>
      <c r="AB97" s="77"/>
      <c r="AC97" s="81" t="s">
        <v>674</v>
      </c>
      <c r="AD97" s="77" t="s">
        <v>686</v>
      </c>
      <c r="AE97" s="83" t="str">
        <f>HYPERLINK("https://twitter.com/seiginotora_tm/status/1692929296292356600")</f>
        <v>https://twitter.com/seiginotora_tm/status/1692929296292356600</v>
      </c>
      <c r="AF97" s="79">
        <v>45157.66633101852</v>
      </c>
      <c r="AG97" s="85">
        <v>45157</v>
      </c>
      <c r="AH97" s="81" t="s">
        <v>779</v>
      </c>
      <c r="AI97" s="77"/>
      <c r="AJ97" s="77" t="s">
        <v>828</v>
      </c>
      <c r="AK97" s="77" t="s">
        <v>849</v>
      </c>
      <c r="AL97" s="77" t="s">
        <v>850</v>
      </c>
      <c r="AM97" s="77" t="s">
        <v>852</v>
      </c>
      <c r="AN97" s="77" t="s">
        <v>874</v>
      </c>
      <c r="AO97" s="77" t="s">
        <v>896</v>
      </c>
      <c r="AP97" s="77" t="s">
        <v>917</v>
      </c>
      <c r="AQ97" s="77"/>
      <c r="AR97" s="77"/>
      <c r="AS97" s="77"/>
      <c r="AT97" s="77"/>
      <c r="AU97" s="77"/>
      <c r="AV97" s="83" t="str">
        <f>HYPERLINK("https://pbs.twimg.com/profile_images/1674992788155559936/Gx1lxpRR_normal.jpg")</f>
        <v>https://pbs.twimg.com/profile_images/1674992788155559936/Gx1lxpRR_normal.jpg</v>
      </c>
      <c r="AW97" s="81" t="s">
        <v>1033</v>
      </c>
      <c r="AX97" s="81" t="s">
        <v>1124</v>
      </c>
      <c r="AY97" s="81" t="s">
        <v>1188</v>
      </c>
      <c r="AZ97" s="81" t="s">
        <v>1124</v>
      </c>
      <c r="BA97" s="81" t="s">
        <v>1210</v>
      </c>
      <c r="BB97" s="81" t="s">
        <v>1210</v>
      </c>
      <c r="BC97" s="81" t="s">
        <v>1124</v>
      </c>
      <c r="BD97" s="81" t="s">
        <v>1275</v>
      </c>
      <c r="BE97" s="77"/>
      <c r="BF97" s="77"/>
      <c r="BG97" s="77"/>
      <c r="BH97" s="77"/>
      <c r="BI97" s="77"/>
      <c r="BJ97">
        <v>1</v>
      </c>
      <c r="BK97" s="76" t="str">
        <f>REPLACE(INDEX(GroupVertices[Group],MATCH("~"&amp;Edges27[[#This Row],[Vertex 1]],GroupVertices[Vertex],0)),1,1,"")</f>
        <v>36</v>
      </c>
      <c r="BL97" s="76" t="str">
        <f>REPLACE(INDEX(GroupVertices[Group],MATCH("~"&amp;Edges27[[#This Row],[Vertex 2]],GroupVertices[Vertex],0)),1,1,"")</f>
        <v>36</v>
      </c>
      <c r="BM97" s="45">
        <v>6</v>
      </c>
      <c r="BN97" s="46">
        <v>10.169491525423728</v>
      </c>
      <c r="BO97" s="45">
        <v>3</v>
      </c>
      <c r="BP97" s="46">
        <v>5.084745762711864</v>
      </c>
      <c r="BQ97" s="45">
        <v>0</v>
      </c>
      <c r="BR97" s="46">
        <v>0</v>
      </c>
      <c r="BS97" s="45">
        <v>14</v>
      </c>
      <c r="BT97" s="46">
        <v>23.728813559322035</v>
      </c>
      <c r="BU97" s="45">
        <v>59</v>
      </c>
    </row>
    <row r="98" spans="1:73" ht="15">
      <c r="A98" s="61" t="s">
        <v>308</v>
      </c>
      <c r="B98" s="61" t="s">
        <v>308</v>
      </c>
      <c r="C98" s="62"/>
      <c r="D98" s="63"/>
      <c r="E98" s="64"/>
      <c r="F98" s="65"/>
      <c r="G98" s="62"/>
      <c r="H98" s="66"/>
      <c r="I98" s="67"/>
      <c r="J98" s="67"/>
      <c r="K98" s="31" t="s">
        <v>65</v>
      </c>
      <c r="L98" s="75">
        <v>131</v>
      </c>
      <c r="M98" s="75"/>
      <c r="N98" s="69"/>
      <c r="O98" s="77" t="s">
        <v>178</v>
      </c>
      <c r="P98" s="79">
        <v>45233.809965277775</v>
      </c>
      <c r="Q98" s="77" t="s">
        <v>535</v>
      </c>
      <c r="R98" s="77">
        <v>0</v>
      </c>
      <c r="S98" s="77">
        <v>0</v>
      </c>
      <c r="T98" s="77">
        <v>0</v>
      </c>
      <c r="U98" s="77">
        <v>0</v>
      </c>
      <c r="V98" s="77">
        <v>34</v>
      </c>
      <c r="W98" s="77"/>
      <c r="X98" s="77"/>
      <c r="Y98" s="77"/>
      <c r="Z98" s="77"/>
      <c r="AA98" s="77"/>
      <c r="AB98" s="77"/>
      <c r="AC98" s="81" t="s">
        <v>674</v>
      </c>
      <c r="AD98" s="77" t="s">
        <v>686</v>
      </c>
      <c r="AE98" s="83" t="str">
        <f>HYPERLINK("https://twitter.com/seiginotora_tm/status/1720522821670175086")</f>
        <v>https://twitter.com/seiginotora_tm/status/1720522821670175086</v>
      </c>
      <c r="AF98" s="79">
        <v>45233.809965277775</v>
      </c>
      <c r="AG98" s="85">
        <v>45233</v>
      </c>
      <c r="AH98" s="81" t="s">
        <v>780</v>
      </c>
      <c r="AI98" s="77"/>
      <c r="AJ98" s="77" t="s">
        <v>828</v>
      </c>
      <c r="AK98" s="77" t="s">
        <v>849</v>
      </c>
      <c r="AL98" s="77" t="s">
        <v>850</v>
      </c>
      <c r="AM98" s="77" t="s">
        <v>852</v>
      </c>
      <c r="AN98" s="77" t="s">
        <v>874</v>
      </c>
      <c r="AO98" s="77" t="s">
        <v>896</v>
      </c>
      <c r="AP98" s="77" t="s">
        <v>917</v>
      </c>
      <c r="AQ98" s="77"/>
      <c r="AR98" s="77"/>
      <c r="AS98" s="77"/>
      <c r="AT98" s="77"/>
      <c r="AU98" s="77"/>
      <c r="AV98" s="83" t="str">
        <f>HYPERLINK("https://pbs.twimg.com/profile_images/1674992788155559936/Gx1lxpRR_normal.jpg")</f>
        <v>https://pbs.twimg.com/profile_images/1674992788155559936/Gx1lxpRR_normal.jpg</v>
      </c>
      <c r="AW98" s="81" t="s">
        <v>1034</v>
      </c>
      <c r="AX98" s="81" t="s">
        <v>1034</v>
      </c>
      <c r="AY98" s="77"/>
      <c r="AZ98" s="81" t="s">
        <v>1210</v>
      </c>
      <c r="BA98" s="81" t="s">
        <v>1210</v>
      </c>
      <c r="BB98" s="81" t="s">
        <v>1210</v>
      </c>
      <c r="BC98" s="81" t="s">
        <v>1034</v>
      </c>
      <c r="BD98" s="81" t="s">
        <v>1275</v>
      </c>
      <c r="BE98" s="77"/>
      <c r="BF98" s="77"/>
      <c r="BG98" s="77"/>
      <c r="BH98" s="77"/>
      <c r="BI98" s="77"/>
      <c r="BJ98">
        <v>1</v>
      </c>
      <c r="BK98" s="76" t="str">
        <f>REPLACE(INDEX(GroupVertices[Group],MATCH("~"&amp;Edges27[[#This Row],[Vertex 1]],GroupVertices[Vertex],0)),1,1,"")</f>
        <v>36</v>
      </c>
      <c r="BL98" s="76" t="str">
        <f>REPLACE(INDEX(GroupVertices[Group],MATCH("~"&amp;Edges27[[#This Row],[Vertex 2]],GroupVertices[Vertex],0)),1,1,"")</f>
        <v>36</v>
      </c>
      <c r="BM98" s="45">
        <v>1</v>
      </c>
      <c r="BN98" s="46">
        <v>2.9411764705882355</v>
      </c>
      <c r="BO98" s="45">
        <v>3</v>
      </c>
      <c r="BP98" s="46">
        <v>8.823529411764707</v>
      </c>
      <c r="BQ98" s="45">
        <v>0</v>
      </c>
      <c r="BR98" s="46">
        <v>0</v>
      </c>
      <c r="BS98" s="45">
        <v>12</v>
      </c>
      <c r="BT98" s="46">
        <v>35.294117647058826</v>
      </c>
      <c r="BU98" s="45">
        <v>34</v>
      </c>
    </row>
    <row r="99" spans="1:73" ht="15">
      <c r="A99" s="61" t="s">
        <v>309</v>
      </c>
      <c r="B99" s="61" t="s">
        <v>309</v>
      </c>
      <c r="C99" s="62"/>
      <c r="D99" s="63"/>
      <c r="E99" s="64"/>
      <c r="F99" s="65"/>
      <c r="G99" s="62"/>
      <c r="H99" s="66"/>
      <c r="I99" s="67"/>
      <c r="J99" s="67"/>
      <c r="K99" s="31" t="s">
        <v>65</v>
      </c>
      <c r="L99" s="75">
        <v>132</v>
      </c>
      <c r="M99" s="75"/>
      <c r="N99" s="69"/>
      <c r="O99" s="77" t="s">
        <v>178</v>
      </c>
      <c r="P99" s="79">
        <v>44937.1028125</v>
      </c>
      <c r="Q99" s="77" t="s">
        <v>536</v>
      </c>
      <c r="R99" s="77">
        <v>0</v>
      </c>
      <c r="S99" s="77">
        <v>1</v>
      </c>
      <c r="T99" s="77">
        <v>0</v>
      </c>
      <c r="U99" s="77">
        <v>0</v>
      </c>
      <c r="V99" s="77">
        <v>81</v>
      </c>
      <c r="W99" s="77"/>
      <c r="X99" s="77"/>
      <c r="Y99" s="77"/>
      <c r="Z99" s="77"/>
      <c r="AA99" s="77"/>
      <c r="AB99" s="77"/>
      <c r="AC99" s="81" t="s">
        <v>674</v>
      </c>
      <c r="AD99" s="77" t="s">
        <v>686</v>
      </c>
      <c r="AE99" s="83" t="str">
        <f>HYPERLINK("https://twitter.com/nickfent/status/1612999750961463296")</f>
        <v>https://twitter.com/nickfent/status/1612999750961463296</v>
      </c>
      <c r="AF99" s="79">
        <v>44937.1028125</v>
      </c>
      <c r="AG99" s="85">
        <v>44937</v>
      </c>
      <c r="AH99" s="81" t="s">
        <v>781</v>
      </c>
      <c r="AI99" s="77"/>
      <c r="AJ99" s="77" t="s">
        <v>828</v>
      </c>
      <c r="AK99" s="77" t="s">
        <v>849</v>
      </c>
      <c r="AL99" s="77" t="s">
        <v>850</v>
      </c>
      <c r="AM99" s="77" t="s">
        <v>852</v>
      </c>
      <c r="AN99" s="77" t="s">
        <v>874</v>
      </c>
      <c r="AO99" s="77" t="s">
        <v>896</v>
      </c>
      <c r="AP99" s="77" t="s">
        <v>917</v>
      </c>
      <c r="AQ99" s="77"/>
      <c r="AR99" s="77"/>
      <c r="AS99" s="77"/>
      <c r="AT99" s="77"/>
      <c r="AU99" s="77"/>
      <c r="AV99" s="83" t="str">
        <f>HYPERLINK("https://pbs.twimg.com/profile_images/1731427977618190337/6OHyrX1G_normal.jpg")</f>
        <v>https://pbs.twimg.com/profile_images/1731427977618190337/6OHyrX1G_normal.jpg</v>
      </c>
      <c r="AW99" s="81" t="s">
        <v>1035</v>
      </c>
      <c r="AX99" s="81" t="s">
        <v>1035</v>
      </c>
      <c r="AY99" s="77"/>
      <c r="AZ99" s="81" t="s">
        <v>1210</v>
      </c>
      <c r="BA99" s="81" t="s">
        <v>1210</v>
      </c>
      <c r="BB99" s="81" t="s">
        <v>1210</v>
      </c>
      <c r="BC99" s="81" t="s">
        <v>1035</v>
      </c>
      <c r="BD99" s="77">
        <v>2307566251</v>
      </c>
      <c r="BE99" s="77"/>
      <c r="BF99" s="77"/>
      <c r="BG99" s="77"/>
      <c r="BH99" s="77"/>
      <c r="BI99" s="77"/>
      <c r="BJ99">
        <v>1</v>
      </c>
      <c r="BK99" s="76" t="str">
        <f>REPLACE(INDEX(GroupVertices[Group],MATCH("~"&amp;Edges27[[#This Row],[Vertex 1]],GroupVertices[Vertex],0)),1,1,"")</f>
        <v>1</v>
      </c>
      <c r="BL99" s="76" t="str">
        <f>REPLACE(INDEX(GroupVertices[Group],MATCH("~"&amp;Edges27[[#This Row],[Vertex 2]],GroupVertices[Vertex],0)),1,1,"")</f>
        <v>1</v>
      </c>
      <c r="BM99" s="45">
        <v>0</v>
      </c>
      <c r="BN99" s="46">
        <v>0</v>
      </c>
      <c r="BO99" s="45">
        <v>1</v>
      </c>
      <c r="BP99" s="46">
        <v>2.3255813953488373</v>
      </c>
      <c r="BQ99" s="45">
        <v>0</v>
      </c>
      <c r="BR99" s="46">
        <v>0</v>
      </c>
      <c r="BS99" s="45">
        <v>17</v>
      </c>
      <c r="BT99" s="46">
        <v>39.53488372093023</v>
      </c>
      <c r="BU99" s="45">
        <v>43</v>
      </c>
    </row>
    <row r="100" spans="1:73" ht="15">
      <c r="A100" s="61" t="s">
        <v>310</v>
      </c>
      <c r="B100" s="61" t="s">
        <v>310</v>
      </c>
      <c r="C100" s="62"/>
      <c r="D100" s="63"/>
      <c r="E100" s="64"/>
      <c r="F100" s="65"/>
      <c r="G100" s="62"/>
      <c r="H100" s="66"/>
      <c r="I100" s="67"/>
      <c r="J100" s="67"/>
      <c r="K100" s="31" t="s">
        <v>65</v>
      </c>
      <c r="L100" s="75">
        <v>133</v>
      </c>
      <c r="M100" s="75"/>
      <c r="N100" s="69"/>
      <c r="O100" s="77" t="s">
        <v>178</v>
      </c>
      <c r="P100" s="79">
        <v>44928.99208333333</v>
      </c>
      <c r="Q100" s="77" t="s">
        <v>537</v>
      </c>
      <c r="R100" s="77">
        <v>0</v>
      </c>
      <c r="S100" s="77">
        <v>5</v>
      </c>
      <c r="T100" s="77">
        <v>0</v>
      </c>
      <c r="U100" s="77">
        <v>0</v>
      </c>
      <c r="V100" s="77">
        <v>148</v>
      </c>
      <c r="W100" s="77"/>
      <c r="X100" s="77"/>
      <c r="Y100" s="77"/>
      <c r="Z100" s="77"/>
      <c r="AA100" s="77"/>
      <c r="AB100" s="77"/>
      <c r="AC100" s="81" t="s">
        <v>674</v>
      </c>
      <c r="AD100" s="77" t="s">
        <v>686</v>
      </c>
      <c r="AE100" s="83" t="str">
        <f>HYPERLINK("https://twitter.com/oddswithgop/status/1610060521012891648")</f>
        <v>https://twitter.com/oddswithgop/status/1610060521012891648</v>
      </c>
      <c r="AF100" s="79">
        <v>44928.99208333333</v>
      </c>
      <c r="AG100" s="85">
        <v>44928</v>
      </c>
      <c r="AH100" s="81" t="s">
        <v>782</v>
      </c>
      <c r="AI100" s="77"/>
      <c r="AJ100" s="77" t="s">
        <v>845</v>
      </c>
      <c r="AK100" s="77" t="s">
        <v>849</v>
      </c>
      <c r="AL100" s="77" t="s">
        <v>850</v>
      </c>
      <c r="AM100" s="77" t="s">
        <v>869</v>
      </c>
      <c r="AN100" s="77" t="s">
        <v>891</v>
      </c>
      <c r="AO100" s="77" t="s">
        <v>913</v>
      </c>
      <c r="AP100" s="77" t="s">
        <v>917</v>
      </c>
      <c r="AQ100" s="77"/>
      <c r="AR100" s="77"/>
      <c r="AS100" s="77"/>
      <c r="AT100" s="77"/>
      <c r="AU100" s="77"/>
      <c r="AV100" s="83" t="str">
        <f>HYPERLINK("https://pbs.twimg.com/profile_images/1520272245645475840/Q6FI7o5t_normal.jpg")</f>
        <v>https://pbs.twimg.com/profile_images/1520272245645475840/Q6FI7o5t_normal.jpg</v>
      </c>
      <c r="AW100" s="81" t="s">
        <v>1036</v>
      </c>
      <c r="AX100" s="81" t="s">
        <v>1036</v>
      </c>
      <c r="AY100" s="77"/>
      <c r="AZ100" s="81" t="s">
        <v>1210</v>
      </c>
      <c r="BA100" s="81" t="s">
        <v>1210</v>
      </c>
      <c r="BB100" s="81" t="s">
        <v>1210</v>
      </c>
      <c r="BC100" s="81" t="s">
        <v>1036</v>
      </c>
      <c r="BD100" s="81" t="s">
        <v>1276</v>
      </c>
      <c r="BE100" s="77"/>
      <c r="BF100" s="77"/>
      <c r="BG100" s="77"/>
      <c r="BH100" s="77"/>
      <c r="BI100" s="77"/>
      <c r="BJ100">
        <v>7</v>
      </c>
      <c r="BK100" s="76" t="str">
        <f>REPLACE(INDEX(GroupVertices[Group],MATCH("~"&amp;Edges27[[#This Row],[Vertex 1]],GroupVertices[Vertex],0)),1,1,"")</f>
        <v>1</v>
      </c>
      <c r="BL100" s="76" t="str">
        <f>REPLACE(INDEX(GroupVertices[Group],MATCH("~"&amp;Edges27[[#This Row],[Vertex 2]],GroupVertices[Vertex],0)),1,1,"")</f>
        <v>1</v>
      </c>
      <c r="BM100" s="45">
        <v>0</v>
      </c>
      <c r="BN100" s="46">
        <v>0</v>
      </c>
      <c r="BO100" s="45">
        <v>5</v>
      </c>
      <c r="BP100" s="46">
        <v>10.869565217391305</v>
      </c>
      <c r="BQ100" s="45">
        <v>0</v>
      </c>
      <c r="BR100" s="46">
        <v>0</v>
      </c>
      <c r="BS100" s="45">
        <v>20</v>
      </c>
      <c r="BT100" s="46">
        <v>43.47826086956522</v>
      </c>
      <c r="BU100" s="45">
        <v>46</v>
      </c>
    </row>
    <row r="101" spans="1:73" ht="15">
      <c r="A101" s="61" t="s">
        <v>310</v>
      </c>
      <c r="B101" s="61" t="s">
        <v>310</v>
      </c>
      <c r="C101" s="62"/>
      <c r="D101" s="63"/>
      <c r="E101" s="64"/>
      <c r="F101" s="65"/>
      <c r="G101" s="62"/>
      <c r="H101" s="66"/>
      <c r="I101" s="67"/>
      <c r="J101" s="67"/>
      <c r="K101" s="31" t="s">
        <v>65</v>
      </c>
      <c r="L101" s="75">
        <v>134</v>
      </c>
      <c r="M101" s="75"/>
      <c r="N101" s="69"/>
      <c r="O101" s="77" t="s">
        <v>178</v>
      </c>
      <c r="P101" s="79">
        <v>44942.99146990741</v>
      </c>
      <c r="Q101" s="77" t="s">
        <v>538</v>
      </c>
      <c r="R101" s="77">
        <v>12</v>
      </c>
      <c r="S101" s="77">
        <v>19</v>
      </c>
      <c r="T101" s="77">
        <v>3</v>
      </c>
      <c r="U101" s="77">
        <v>0</v>
      </c>
      <c r="V101" s="77">
        <v>447</v>
      </c>
      <c r="W101" s="77"/>
      <c r="X101" s="77"/>
      <c r="Y101" s="77"/>
      <c r="Z101" s="77"/>
      <c r="AA101" s="77"/>
      <c r="AB101" s="77"/>
      <c r="AC101" s="81" t="s">
        <v>674</v>
      </c>
      <c r="AD101" s="77" t="s">
        <v>686</v>
      </c>
      <c r="AE101" s="83" t="str">
        <f>HYPERLINK("https://twitter.com/oddswithgop/status/1615133728845754368")</f>
        <v>https://twitter.com/oddswithgop/status/1615133728845754368</v>
      </c>
      <c r="AF101" s="79">
        <v>44942.99146990741</v>
      </c>
      <c r="AG101" s="85">
        <v>44942</v>
      </c>
      <c r="AH101" s="81" t="s">
        <v>783</v>
      </c>
      <c r="AI101" s="77"/>
      <c r="AJ101" s="77" t="s">
        <v>846</v>
      </c>
      <c r="AK101" s="77" t="s">
        <v>849</v>
      </c>
      <c r="AL101" s="77" t="s">
        <v>850</v>
      </c>
      <c r="AM101" s="77" t="s">
        <v>870</v>
      </c>
      <c r="AN101" s="77" t="s">
        <v>892</v>
      </c>
      <c r="AO101" s="77" t="s">
        <v>914</v>
      </c>
      <c r="AP101" s="77" t="s">
        <v>917</v>
      </c>
      <c r="AQ101" s="77"/>
      <c r="AR101" s="77"/>
      <c r="AS101" s="77"/>
      <c r="AT101" s="77"/>
      <c r="AU101" s="77"/>
      <c r="AV101" s="83" t="str">
        <f>HYPERLINK("https://pbs.twimg.com/profile_images/1520272245645475840/Q6FI7o5t_normal.jpg")</f>
        <v>https://pbs.twimg.com/profile_images/1520272245645475840/Q6FI7o5t_normal.jpg</v>
      </c>
      <c r="AW101" s="81" t="s">
        <v>1037</v>
      </c>
      <c r="AX101" s="81" t="s">
        <v>1037</v>
      </c>
      <c r="AY101" s="77"/>
      <c r="AZ101" s="81" t="s">
        <v>1210</v>
      </c>
      <c r="BA101" s="81" t="s">
        <v>1210</v>
      </c>
      <c r="BB101" s="81" t="s">
        <v>1210</v>
      </c>
      <c r="BC101" s="81" t="s">
        <v>1037</v>
      </c>
      <c r="BD101" s="81" t="s">
        <v>1276</v>
      </c>
      <c r="BE101" s="77"/>
      <c r="BF101" s="77"/>
      <c r="BG101" s="77"/>
      <c r="BH101" s="77"/>
      <c r="BI101" s="77"/>
      <c r="BJ101">
        <v>7</v>
      </c>
      <c r="BK101" s="76" t="str">
        <f>REPLACE(INDEX(GroupVertices[Group],MATCH("~"&amp;Edges27[[#This Row],[Vertex 1]],GroupVertices[Vertex],0)),1,1,"")</f>
        <v>1</v>
      </c>
      <c r="BL101" s="76" t="str">
        <f>REPLACE(INDEX(GroupVertices[Group],MATCH("~"&amp;Edges27[[#This Row],[Vertex 2]],GroupVertices[Vertex],0)),1,1,"")</f>
        <v>1</v>
      </c>
      <c r="BM101" s="45">
        <v>0</v>
      </c>
      <c r="BN101" s="46">
        <v>0</v>
      </c>
      <c r="BO101" s="45">
        <v>1</v>
      </c>
      <c r="BP101" s="46">
        <v>2.857142857142857</v>
      </c>
      <c r="BQ101" s="45">
        <v>0</v>
      </c>
      <c r="BR101" s="46">
        <v>0</v>
      </c>
      <c r="BS101" s="45">
        <v>16</v>
      </c>
      <c r="BT101" s="46">
        <v>45.714285714285715</v>
      </c>
      <c r="BU101" s="45">
        <v>35</v>
      </c>
    </row>
    <row r="102" spans="1:73" ht="15">
      <c r="A102" s="61" t="s">
        <v>310</v>
      </c>
      <c r="B102" s="61" t="s">
        <v>310</v>
      </c>
      <c r="C102" s="62"/>
      <c r="D102" s="63"/>
      <c r="E102" s="64"/>
      <c r="F102" s="65"/>
      <c r="G102" s="62"/>
      <c r="H102" s="66"/>
      <c r="I102" s="67"/>
      <c r="J102" s="67"/>
      <c r="K102" s="31" t="s">
        <v>65</v>
      </c>
      <c r="L102" s="75">
        <v>135</v>
      </c>
      <c r="M102" s="75"/>
      <c r="N102" s="69"/>
      <c r="O102" s="77" t="s">
        <v>178</v>
      </c>
      <c r="P102" s="79">
        <v>44942.98732638889</v>
      </c>
      <c r="Q102" s="77" t="s">
        <v>539</v>
      </c>
      <c r="R102" s="77">
        <v>13</v>
      </c>
      <c r="S102" s="77">
        <v>50</v>
      </c>
      <c r="T102" s="77">
        <v>3</v>
      </c>
      <c r="U102" s="77">
        <v>0</v>
      </c>
      <c r="V102" s="77">
        <v>435</v>
      </c>
      <c r="W102" s="77"/>
      <c r="X102" s="77"/>
      <c r="Y102" s="77"/>
      <c r="Z102" s="77"/>
      <c r="AA102" s="77"/>
      <c r="AB102" s="77"/>
      <c r="AC102" s="81" t="s">
        <v>674</v>
      </c>
      <c r="AD102" s="77" t="s">
        <v>686</v>
      </c>
      <c r="AE102" s="83" t="str">
        <f>HYPERLINK("https://twitter.com/oddswithgop/status/1615132228710985728")</f>
        <v>https://twitter.com/oddswithgop/status/1615132228710985728</v>
      </c>
      <c r="AF102" s="79">
        <v>44942.98732638889</v>
      </c>
      <c r="AG102" s="85">
        <v>44942</v>
      </c>
      <c r="AH102" s="81" t="s">
        <v>784</v>
      </c>
      <c r="AI102" s="77"/>
      <c r="AJ102" s="77" t="s">
        <v>846</v>
      </c>
      <c r="AK102" s="77" t="s">
        <v>849</v>
      </c>
      <c r="AL102" s="77" t="s">
        <v>850</v>
      </c>
      <c r="AM102" s="77" t="s">
        <v>870</v>
      </c>
      <c r="AN102" s="77" t="s">
        <v>892</v>
      </c>
      <c r="AO102" s="77" t="s">
        <v>914</v>
      </c>
      <c r="AP102" s="77" t="s">
        <v>917</v>
      </c>
      <c r="AQ102" s="77"/>
      <c r="AR102" s="77"/>
      <c r="AS102" s="77"/>
      <c r="AT102" s="77"/>
      <c r="AU102" s="77"/>
      <c r="AV102" s="83" t="str">
        <f>HYPERLINK("https://pbs.twimg.com/profile_images/1520272245645475840/Q6FI7o5t_normal.jpg")</f>
        <v>https://pbs.twimg.com/profile_images/1520272245645475840/Q6FI7o5t_normal.jpg</v>
      </c>
      <c r="AW102" s="81" t="s">
        <v>1038</v>
      </c>
      <c r="AX102" s="81" t="s">
        <v>1038</v>
      </c>
      <c r="AY102" s="77"/>
      <c r="AZ102" s="81" t="s">
        <v>1210</v>
      </c>
      <c r="BA102" s="81" t="s">
        <v>1210</v>
      </c>
      <c r="BB102" s="81" t="s">
        <v>1210</v>
      </c>
      <c r="BC102" s="81" t="s">
        <v>1038</v>
      </c>
      <c r="BD102" s="81" t="s">
        <v>1276</v>
      </c>
      <c r="BE102" s="77"/>
      <c r="BF102" s="77"/>
      <c r="BG102" s="77"/>
      <c r="BH102" s="77"/>
      <c r="BI102" s="77"/>
      <c r="BJ102">
        <v>7</v>
      </c>
      <c r="BK102" s="76" t="str">
        <f>REPLACE(INDEX(GroupVertices[Group],MATCH("~"&amp;Edges27[[#This Row],[Vertex 1]],GroupVertices[Vertex],0)),1,1,"")</f>
        <v>1</v>
      </c>
      <c r="BL102" s="76" t="str">
        <f>REPLACE(INDEX(GroupVertices[Group],MATCH("~"&amp;Edges27[[#This Row],[Vertex 2]],GroupVertices[Vertex],0)),1,1,"")</f>
        <v>1</v>
      </c>
      <c r="BM102" s="45">
        <v>0</v>
      </c>
      <c r="BN102" s="46">
        <v>0</v>
      </c>
      <c r="BO102" s="45">
        <v>3</v>
      </c>
      <c r="BP102" s="46">
        <v>20</v>
      </c>
      <c r="BQ102" s="45">
        <v>0</v>
      </c>
      <c r="BR102" s="46">
        <v>0</v>
      </c>
      <c r="BS102" s="45">
        <v>6</v>
      </c>
      <c r="BT102" s="46">
        <v>40</v>
      </c>
      <c r="BU102" s="45">
        <v>15</v>
      </c>
    </row>
    <row r="103" spans="1:73" ht="15">
      <c r="A103" s="61" t="s">
        <v>310</v>
      </c>
      <c r="B103" s="61" t="s">
        <v>310</v>
      </c>
      <c r="C103" s="62"/>
      <c r="D103" s="63"/>
      <c r="E103" s="64"/>
      <c r="F103" s="65"/>
      <c r="G103" s="62"/>
      <c r="H103" s="66"/>
      <c r="I103" s="67"/>
      <c r="J103" s="67"/>
      <c r="K103" s="31" t="s">
        <v>65</v>
      </c>
      <c r="L103" s="75">
        <v>136</v>
      </c>
      <c r="M103" s="75"/>
      <c r="N103" s="69"/>
      <c r="O103" s="77" t="s">
        <v>178</v>
      </c>
      <c r="P103" s="79">
        <v>44969.00780092592</v>
      </c>
      <c r="Q103" s="77" t="s">
        <v>540</v>
      </c>
      <c r="R103" s="77">
        <v>8</v>
      </c>
      <c r="S103" s="77">
        <v>24</v>
      </c>
      <c r="T103" s="77">
        <v>3</v>
      </c>
      <c r="U103" s="77">
        <v>0</v>
      </c>
      <c r="V103" s="77">
        <v>559</v>
      </c>
      <c r="W103" s="77"/>
      <c r="X103" s="77"/>
      <c r="Y103" s="77"/>
      <c r="Z103" s="77"/>
      <c r="AA103" s="77"/>
      <c r="AB103" s="77"/>
      <c r="AC103" s="81" t="s">
        <v>674</v>
      </c>
      <c r="AD103" s="77" t="s">
        <v>686</v>
      </c>
      <c r="AE103" s="83" t="str">
        <f>HYPERLINK("https://twitter.com/oddswithgop/status/1624561730180517888")</f>
        <v>https://twitter.com/oddswithgop/status/1624561730180517888</v>
      </c>
      <c r="AF103" s="79">
        <v>44969.00780092592</v>
      </c>
      <c r="AG103" s="85">
        <v>44969</v>
      </c>
      <c r="AH103" s="81" t="s">
        <v>785</v>
      </c>
      <c r="AI103" s="77"/>
      <c r="AJ103" s="77" t="s">
        <v>838</v>
      </c>
      <c r="AK103" s="77" t="s">
        <v>849</v>
      </c>
      <c r="AL103" s="77" t="s">
        <v>850</v>
      </c>
      <c r="AM103" s="77" t="s">
        <v>862</v>
      </c>
      <c r="AN103" s="77" t="s">
        <v>884</v>
      </c>
      <c r="AO103" s="77" t="s">
        <v>906</v>
      </c>
      <c r="AP103" s="77" t="s">
        <v>917</v>
      </c>
      <c r="AQ103" s="77"/>
      <c r="AR103" s="77"/>
      <c r="AS103" s="77"/>
      <c r="AT103" s="77"/>
      <c r="AU103" s="77"/>
      <c r="AV103" s="83" t="str">
        <f>HYPERLINK("https://pbs.twimg.com/profile_images/1520272245645475840/Q6FI7o5t_normal.jpg")</f>
        <v>https://pbs.twimg.com/profile_images/1520272245645475840/Q6FI7o5t_normal.jpg</v>
      </c>
      <c r="AW103" s="81" t="s">
        <v>1039</v>
      </c>
      <c r="AX103" s="81" t="s">
        <v>1039</v>
      </c>
      <c r="AY103" s="77"/>
      <c r="AZ103" s="81" t="s">
        <v>1210</v>
      </c>
      <c r="BA103" s="81" t="s">
        <v>1210</v>
      </c>
      <c r="BB103" s="81" t="s">
        <v>1210</v>
      </c>
      <c r="BC103" s="81" t="s">
        <v>1039</v>
      </c>
      <c r="BD103" s="81" t="s">
        <v>1276</v>
      </c>
      <c r="BE103" s="77"/>
      <c r="BF103" s="77"/>
      <c r="BG103" s="77"/>
      <c r="BH103" s="77"/>
      <c r="BI103" s="77"/>
      <c r="BJ103">
        <v>7</v>
      </c>
      <c r="BK103" s="76" t="str">
        <f>REPLACE(INDEX(GroupVertices[Group],MATCH("~"&amp;Edges27[[#This Row],[Vertex 1]],GroupVertices[Vertex],0)),1,1,"")</f>
        <v>1</v>
      </c>
      <c r="BL103" s="76" t="str">
        <f>REPLACE(INDEX(GroupVertices[Group],MATCH("~"&amp;Edges27[[#This Row],[Vertex 2]],GroupVertices[Vertex],0)),1,1,"")</f>
        <v>1</v>
      </c>
      <c r="BM103" s="45">
        <v>0</v>
      </c>
      <c r="BN103" s="46">
        <v>0</v>
      </c>
      <c r="BO103" s="45">
        <v>5</v>
      </c>
      <c r="BP103" s="46">
        <v>19.23076923076923</v>
      </c>
      <c r="BQ103" s="45">
        <v>0</v>
      </c>
      <c r="BR103" s="46">
        <v>0</v>
      </c>
      <c r="BS103" s="45">
        <v>12</v>
      </c>
      <c r="BT103" s="46">
        <v>46.15384615384615</v>
      </c>
      <c r="BU103" s="45">
        <v>26</v>
      </c>
    </row>
    <row r="104" spans="1:73" ht="15">
      <c r="A104" s="61" t="s">
        <v>310</v>
      </c>
      <c r="B104" s="61" t="s">
        <v>310</v>
      </c>
      <c r="C104" s="62"/>
      <c r="D104" s="63"/>
      <c r="E104" s="64"/>
      <c r="F104" s="65"/>
      <c r="G104" s="62"/>
      <c r="H104" s="66"/>
      <c r="I104" s="67"/>
      <c r="J104" s="67"/>
      <c r="K104" s="31" t="s">
        <v>65</v>
      </c>
      <c r="L104" s="75">
        <v>137</v>
      </c>
      <c r="M104" s="75"/>
      <c r="N104" s="69"/>
      <c r="O104" s="77" t="s">
        <v>178</v>
      </c>
      <c r="P104" s="79">
        <v>45148.97046296296</v>
      </c>
      <c r="Q104" s="77" t="s">
        <v>541</v>
      </c>
      <c r="R104" s="77">
        <v>0</v>
      </c>
      <c r="S104" s="77">
        <v>0</v>
      </c>
      <c r="T104" s="77">
        <v>0</v>
      </c>
      <c r="U104" s="77">
        <v>0</v>
      </c>
      <c r="V104" s="77">
        <v>177</v>
      </c>
      <c r="W104" s="77"/>
      <c r="X104" s="77"/>
      <c r="Y104" s="77"/>
      <c r="Z104" s="77"/>
      <c r="AA104" s="77"/>
      <c r="AB104" s="77"/>
      <c r="AC104" s="81" t="s">
        <v>674</v>
      </c>
      <c r="AD104" s="77" t="s">
        <v>686</v>
      </c>
      <c r="AE104" s="83" t="str">
        <f>HYPERLINK("https://twitter.com/oddswithgop/status/1689778018502561795")</f>
        <v>https://twitter.com/oddswithgop/status/1689778018502561795</v>
      </c>
      <c r="AF104" s="79">
        <v>45148.97046296296</v>
      </c>
      <c r="AG104" s="85">
        <v>45148</v>
      </c>
      <c r="AH104" s="81" t="s">
        <v>786</v>
      </c>
      <c r="AI104" s="77"/>
      <c r="AJ104" s="77" t="s">
        <v>829</v>
      </c>
      <c r="AK104" s="77" t="s">
        <v>849</v>
      </c>
      <c r="AL104" s="77" t="s">
        <v>850</v>
      </c>
      <c r="AM104" s="77" t="s">
        <v>853</v>
      </c>
      <c r="AN104" s="77" t="s">
        <v>875</v>
      </c>
      <c r="AO104" s="77" t="s">
        <v>897</v>
      </c>
      <c r="AP104" s="77" t="s">
        <v>917</v>
      </c>
      <c r="AQ104" s="77"/>
      <c r="AR104" s="77"/>
      <c r="AS104" s="77"/>
      <c r="AT104" s="77"/>
      <c r="AU104" s="77"/>
      <c r="AV104" s="83" t="str">
        <f>HYPERLINK("https://pbs.twimg.com/profile_images/1520272245645475840/Q6FI7o5t_normal.jpg")</f>
        <v>https://pbs.twimg.com/profile_images/1520272245645475840/Q6FI7o5t_normal.jpg</v>
      </c>
      <c r="AW104" s="81" t="s">
        <v>1040</v>
      </c>
      <c r="AX104" s="81" t="s">
        <v>1040</v>
      </c>
      <c r="AY104" s="77"/>
      <c r="AZ104" s="81" t="s">
        <v>1210</v>
      </c>
      <c r="BA104" s="81" t="s">
        <v>1210</v>
      </c>
      <c r="BB104" s="81" t="s">
        <v>1210</v>
      </c>
      <c r="BC104" s="81" t="s">
        <v>1040</v>
      </c>
      <c r="BD104" s="81" t="s">
        <v>1276</v>
      </c>
      <c r="BE104" s="77"/>
      <c r="BF104" s="77"/>
      <c r="BG104" s="77"/>
      <c r="BH104" s="77"/>
      <c r="BI104" s="77"/>
      <c r="BJ104">
        <v>7</v>
      </c>
      <c r="BK104" s="76" t="str">
        <f>REPLACE(INDEX(GroupVertices[Group],MATCH("~"&amp;Edges27[[#This Row],[Vertex 1]],GroupVertices[Vertex],0)),1,1,"")</f>
        <v>1</v>
      </c>
      <c r="BL104" s="76" t="str">
        <f>REPLACE(INDEX(GroupVertices[Group],MATCH("~"&amp;Edges27[[#This Row],[Vertex 2]],GroupVertices[Vertex],0)),1,1,"")</f>
        <v>1</v>
      </c>
      <c r="BM104" s="45">
        <v>1</v>
      </c>
      <c r="BN104" s="46">
        <v>2.127659574468085</v>
      </c>
      <c r="BO104" s="45">
        <v>4</v>
      </c>
      <c r="BP104" s="46">
        <v>8.51063829787234</v>
      </c>
      <c r="BQ104" s="45">
        <v>0</v>
      </c>
      <c r="BR104" s="46">
        <v>0</v>
      </c>
      <c r="BS104" s="45">
        <v>24</v>
      </c>
      <c r="BT104" s="46">
        <v>51.06382978723404</v>
      </c>
      <c r="BU104" s="45">
        <v>47</v>
      </c>
    </row>
    <row r="105" spans="1:73" ht="15">
      <c r="A105" s="61" t="s">
        <v>310</v>
      </c>
      <c r="B105" s="61" t="s">
        <v>310</v>
      </c>
      <c r="C105" s="62"/>
      <c r="D105" s="63"/>
      <c r="E105" s="64"/>
      <c r="F105" s="65"/>
      <c r="G105" s="62"/>
      <c r="H105" s="66"/>
      <c r="I105" s="67"/>
      <c r="J105" s="67"/>
      <c r="K105" s="31" t="s">
        <v>65</v>
      </c>
      <c r="L105" s="75">
        <v>138</v>
      </c>
      <c r="M105" s="75"/>
      <c r="N105" s="69"/>
      <c r="O105" s="77" t="s">
        <v>178</v>
      </c>
      <c r="P105" s="79">
        <v>44965.00131944445</v>
      </c>
      <c r="Q105" s="77" t="s">
        <v>542</v>
      </c>
      <c r="R105" s="77">
        <v>8</v>
      </c>
      <c r="S105" s="77">
        <v>32</v>
      </c>
      <c r="T105" s="77">
        <v>7</v>
      </c>
      <c r="U105" s="77">
        <v>0</v>
      </c>
      <c r="V105" s="77">
        <v>844</v>
      </c>
      <c r="W105" s="77"/>
      <c r="X105" s="77"/>
      <c r="Y105" s="77"/>
      <c r="Z105" s="77"/>
      <c r="AA105" s="77"/>
      <c r="AB105" s="77"/>
      <c r="AC105" s="81" t="s">
        <v>674</v>
      </c>
      <c r="AD105" s="77" t="s">
        <v>686</v>
      </c>
      <c r="AE105" s="83" t="str">
        <f>HYPERLINK("https://twitter.com/oddswithgop/status/1623109832999055360")</f>
        <v>https://twitter.com/oddswithgop/status/1623109832999055360</v>
      </c>
      <c r="AF105" s="79">
        <v>44965.00131944445</v>
      </c>
      <c r="AG105" s="85">
        <v>44965</v>
      </c>
      <c r="AH105" s="81" t="s">
        <v>787</v>
      </c>
      <c r="AI105" s="77"/>
      <c r="AJ105" s="77" t="s">
        <v>846</v>
      </c>
      <c r="AK105" s="77" t="s">
        <v>849</v>
      </c>
      <c r="AL105" s="77" t="s">
        <v>850</v>
      </c>
      <c r="AM105" s="77" t="s">
        <v>870</v>
      </c>
      <c r="AN105" s="77" t="s">
        <v>892</v>
      </c>
      <c r="AO105" s="77" t="s">
        <v>914</v>
      </c>
      <c r="AP105" s="77" t="s">
        <v>917</v>
      </c>
      <c r="AQ105" s="77"/>
      <c r="AR105" s="77"/>
      <c r="AS105" s="77"/>
      <c r="AT105" s="77"/>
      <c r="AU105" s="77"/>
      <c r="AV105" s="83" t="str">
        <f>HYPERLINK("https://pbs.twimg.com/profile_images/1520272245645475840/Q6FI7o5t_normal.jpg")</f>
        <v>https://pbs.twimg.com/profile_images/1520272245645475840/Q6FI7o5t_normal.jpg</v>
      </c>
      <c r="AW105" s="81" t="s">
        <v>1041</v>
      </c>
      <c r="AX105" s="81" t="s">
        <v>1041</v>
      </c>
      <c r="AY105" s="77"/>
      <c r="AZ105" s="81" t="s">
        <v>1210</v>
      </c>
      <c r="BA105" s="81" t="s">
        <v>1210</v>
      </c>
      <c r="BB105" s="81" t="s">
        <v>1210</v>
      </c>
      <c r="BC105" s="81" t="s">
        <v>1041</v>
      </c>
      <c r="BD105" s="81" t="s">
        <v>1276</v>
      </c>
      <c r="BE105" s="77"/>
      <c r="BF105" s="77"/>
      <c r="BG105" s="77"/>
      <c r="BH105" s="77"/>
      <c r="BI105" s="77"/>
      <c r="BJ105">
        <v>7</v>
      </c>
      <c r="BK105" s="76" t="str">
        <f>REPLACE(INDEX(GroupVertices[Group],MATCH("~"&amp;Edges27[[#This Row],[Vertex 1]],GroupVertices[Vertex],0)),1,1,"")</f>
        <v>1</v>
      </c>
      <c r="BL105" s="76" t="str">
        <f>REPLACE(INDEX(GroupVertices[Group],MATCH("~"&amp;Edges27[[#This Row],[Vertex 2]],GroupVertices[Vertex],0)),1,1,"")</f>
        <v>1</v>
      </c>
      <c r="BM105" s="45">
        <v>0</v>
      </c>
      <c r="BN105" s="46">
        <v>0</v>
      </c>
      <c r="BO105" s="45">
        <v>2</v>
      </c>
      <c r="BP105" s="46">
        <v>4.081632653061225</v>
      </c>
      <c r="BQ105" s="45">
        <v>0</v>
      </c>
      <c r="BR105" s="46">
        <v>0</v>
      </c>
      <c r="BS105" s="45">
        <v>26</v>
      </c>
      <c r="BT105" s="46">
        <v>53.06122448979592</v>
      </c>
      <c r="BU105" s="45">
        <v>49</v>
      </c>
    </row>
    <row r="106" spans="1:73" ht="15">
      <c r="A106" s="61" t="s">
        <v>310</v>
      </c>
      <c r="B106" s="61" t="s">
        <v>310</v>
      </c>
      <c r="C106" s="62"/>
      <c r="D106" s="63"/>
      <c r="E106" s="64"/>
      <c r="F106" s="65"/>
      <c r="G106" s="62"/>
      <c r="H106" s="66"/>
      <c r="I106" s="67"/>
      <c r="J106" s="67"/>
      <c r="K106" s="31" t="s">
        <v>65</v>
      </c>
      <c r="L106" s="75">
        <v>139</v>
      </c>
      <c r="M106" s="75"/>
      <c r="N106" s="69"/>
      <c r="O106" s="77" t="s">
        <v>178</v>
      </c>
      <c r="P106" s="79">
        <v>45154.12341435185</v>
      </c>
      <c r="Q106" s="77" t="s">
        <v>543</v>
      </c>
      <c r="R106" s="77">
        <v>1</v>
      </c>
      <c r="S106" s="77">
        <v>7</v>
      </c>
      <c r="T106" s="77">
        <v>1</v>
      </c>
      <c r="U106" s="77">
        <v>0</v>
      </c>
      <c r="V106" s="77">
        <v>94</v>
      </c>
      <c r="W106" s="77"/>
      <c r="X106" s="77"/>
      <c r="Y106" s="77"/>
      <c r="Z106" s="77"/>
      <c r="AA106" s="77"/>
      <c r="AB106" s="77"/>
      <c r="AC106" s="81" t="s">
        <v>674</v>
      </c>
      <c r="AD106" s="77" t="s">
        <v>686</v>
      </c>
      <c r="AE106" s="83" t="str">
        <f>HYPERLINK("https://twitter.com/oddswithgop/status/1691645384270192841")</f>
        <v>https://twitter.com/oddswithgop/status/1691645384270192841</v>
      </c>
      <c r="AF106" s="79">
        <v>45154.12341435185</v>
      </c>
      <c r="AG106" s="85">
        <v>45154</v>
      </c>
      <c r="AH106" s="81" t="s">
        <v>788</v>
      </c>
      <c r="AI106" s="77"/>
      <c r="AJ106" s="77" t="s">
        <v>845</v>
      </c>
      <c r="AK106" s="77" t="s">
        <v>849</v>
      </c>
      <c r="AL106" s="77" t="s">
        <v>850</v>
      </c>
      <c r="AM106" s="77" t="s">
        <v>869</v>
      </c>
      <c r="AN106" s="77" t="s">
        <v>891</v>
      </c>
      <c r="AO106" s="77" t="s">
        <v>913</v>
      </c>
      <c r="AP106" s="77" t="s">
        <v>917</v>
      </c>
      <c r="AQ106" s="77"/>
      <c r="AR106" s="77"/>
      <c r="AS106" s="77"/>
      <c r="AT106" s="77"/>
      <c r="AU106" s="77"/>
      <c r="AV106" s="83" t="str">
        <f>HYPERLINK("https://pbs.twimg.com/profile_images/1520272245645475840/Q6FI7o5t_normal.jpg")</f>
        <v>https://pbs.twimg.com/profile_images/1520272245645475840/Q6FI7o5t_normal.jpg</v>
      </c>
      <c r="AW106" s="81" t="s">
        <v>1042</v>
      </c>
      <c r="AX106" s="81" t="s">
        <v>1042</v>
      </c>
      <c r="AY106" s="77"/>
      <c r="AZ106" s="81" t="s">
        <v>1210</v>
      </c>
      <c r="BA106" s="81" t="s">
        <v>1210</v>
      </c>
      <c r="BB106" s="81" t="s">
        <v>1210</v>
      </c>
      <c r="BC106" s="81" t="s">
        <v>1042</v>
      </c>
      <c r="BD106" s="81" t="s">
        <v>1276</v>
      </c>
      <c r="BE106" s="77"/>
      <c r="BF106" s="77"/>
      <c r="BG106" s="77"/>
      <c r="BH106" s="77"/>
      <c r="BI106" s="77"/>
      <c r="BJ106">
        <v>7</v>
      </c>
      <c r="BK106" s="76" t="str">
        <f>REPLACE(INDEX(GroupVertices[Group],MATCH("~"&amp;Edges27[[#This Row],[Vertex 1]],GroupVertices[Vertex],0)),1,1,"")</f>
        <v>1</v>
      </c>
      <c r="BL106" s="76" t="str">
        <f>REPLACE(INDEX(GroupVertices[Group],MATCH("~"&amp;Edges27[[#This Row],[Vertex 2]],GroupVertices[Vertex],0)),1,1,"")</f>
        <v>1</v>
      </c>
      <c r="BM106" s="45">
        <v>0</v>
      </c>
      <c r="BN106" s="46">
        <v>0</v>
      </c>
      <c r="BO106" s="45">
        <v>3</v>
      </c>
      <c r="BP106" s="46">
        <v>6</v>
      </c>
      <c r="BQ106" s="45">
        <v>0</v>
      </c>
      <c r="BR106" s="46">
        <v>0</v>
      </c>
      <c r="BS106" s="45">
        <v>25</v>
      </c>
      <c r="BT106" s="46">
        <v>50</v>
      </c>
      <c r="BU106" s="45">
        <v>50</v>
      </c>
    </row>
    <row r="107" spans="1:73" ht="15">
      <c r="A107" s="61" t="s">
        <v>311</v>
      </c>
      <c r="B107" s="61" t="s">
        <v>409</v>
      </c>
      <c r="C107" s="62"/>
      <c r="D107" s="63"/>
      <c r="E107" s="64"/>
      <c r="F107" s="65"/>
      <c r="G107" s="62"/>
      <c r="H107" s="66"/>
      <c r="I107" s="67"/>
      <c r="J107" s="67"/>
      <c r="K107" s="31" t="s">
        <v>65</v>
      </c>
      <c r="L107" s="75">
        <v>140</v>
      </c>
      <c r="M107" s="75"/>
      <c r="N107" s="69"/>
      <c r="O107" s="77" t="s">
        <v>437</v>
      </c>
      <c r="P107" s="79">
        <v>45089.68212962963</v>
      </c>
      <c r="Q107" s="77" t="s">
        <v>544</v>
      </c>
      <c r="R107" s="77">
        <v>0</v>
      </c>
      <c r="S107" s="77">
        <v>2</v>
      </c>
      <c r="T107" s="77">
        <v>0</v>
      </c>
      <c r="U107" s="77">
        <v>0</v>
      </c>
      <c r="V107" s="77">
        <v>66</v>
      </c>
      <c r="W107" s="77"/>
      <c r="X107" s="77"/>
      <c r="Y107" s="77"/>
      <c r="Z107" s="77" t="s">
        <v>639</v>
      </c>
      <c r="AA107" s="77"/>
      <c r="AB107" s="77"/>
      <c r="AC107" s="81" t="s">
        <v>674</v>
      </c>
      <c r="AD107" s="77" t="s">
        <v>686</v>
      </c>
      <c r="AE107" s="83" t="str">
        <f>HYPERLINK("https://twitter.com/a21starman/status/1668292643582013444")</f>
        <v>https://twitter.com/a21starman/status/1668292643582013444</v>
      </c>
      <c r="AF107" s="79">
        <v>45089.68212962963</v>
      </c>
      <c r="AG107" s="85">
        <v>45089</v>
      </c>
      <c r="AH107" s="81" t="s">
        <v>789</v>
      </c>
      <c r="AI107" s="77"/>
      <c r="AJ107" s="77" t="s">
        <v>845</v>
      </c>
      <c r="AK107" s="77" t="s">
        <v>849</v>
      </c>
      <c r="AL107" s="77" t="s">
        <v>850</v>
      </c>
      <c r="AM107" s="77" t="s">
        <v>869</v>
      </c>
      <c r="AN107" s="77" t="s">
        <v>891</v>
      </c>
      <c r="AO107" s="77" t="s">
        <v>913</v>
      </c>
      <c r="AP107" s="77" t="s">
        <v>917</v>
      </c>
      <c r="AQ107" s="77"/>
      <c r="AR107" s="77"/>
      <c r="AS107" s="77"/>
      <c r="AT107" s="77"/>
      <c r="AU107" s="77"/>
      <c r="AV107" s="83" t="str">
        <f>HYPERLINK("https://pbs.twimg.com/profile_images/1745292342318469120/FhRvP2yi_normal.jpg")</f>
        <v>https://pbs.twimg.com/profile_images/1745292342318469120/FhRvP2yi_normal.jpg</v>
      </c>
      <c r="AW107" s="81" t="s">
        <v>1043</v>
      </c>
      <c r="AX107" s="81" t="s">
        <v>1125</v>
      </c>
      <c r="AY107" s="81" t="s">
        <v>1189</v>
      </c>
      <c r="AZ107" s="81" t="s">
        <v>1226</v>
      </c>
      <c r="BA107" s="81" t="s">
        <v>1210</v>
      </c>
      <c r="BB107" s="81" t="s">
        <v>1210</v>
      </c>
      <c r="BC107" s="81" t="s">
        <v>1226</v>
      </c>
      <c r="BD107" s="81" t="s">
        <v>1189</v>
      </c>
      <c r="BE107" s="77"/>
      <c r="BF107" s="77"/>
      <c r="BG107" s="77"/>
      <c r="BH107" s="77"/>
      <c r="BI107" s="77"/>
      <c r="BJ107">
        <v>1</v>
      </c>
      <c r="BK107" s="76" t="str">
        <f>REPLACE(INDEX(GroupVertices[Group],MATCH("~"&amp;Edges27[[#This Row],[Vertex 1]],GroupVertices[Vertex],0)),1,1,"")</f>
        <v>14</v>
      </c>
      <c r="BL107" s="76" t="str">
        <f>REPLACE(INDEX(GroupVertices[Group],MATCH("~"&amp;Edges27[[#This Row],[Vertex 2]],GroupVertices[Vertex],0)),1,1,"")</f>
        <v>14</v>
      </c>
      <c r="BM107" s="45">
        <v>1</v>
      </c>
      <c r="BN107" s="46">
        <v>2.0833333333333335</v>
      </c>
      <c r="BO107" s="45">
        <v>5</v>
      </c>
      <c r="BP107" s="46">
        <v>10.416666666666666</v>
      </c>
      <c r="BQ107" s="45">
        <v>0</v>
      </c>
      <c r="BR107" s="46">
        <v>0</v>
      </c>
      <c r="BS107" s="45">
        <v>18</v>
      </c>
      <c r="BT107" s="46">
        <v>37.5</v>
      </c>
      <c r="BU107" s="45">
        <v>48</v>
      </c>
    </row>
    <row r="108" spans="1:73" ht="15">
      <c r="A108" s="61" t="s">
        <v>311</v>
      </c>
      <c r="B108" s="61" t="s">
        <v>410</v>
      </c>
      <c r="C108" s="62"/>
      <c r="D108" s="63"/>
      <c r="E108" s="64"/>
      <c r="F108" s="65"/>
      <c r="G108" s="62"/>
      <c r="H108" s="66"/>
      <c r="I108" s="67"/>
      <c r="J108" s="67"/>
      <c r="K108" s="31" t="s">
        <v>65</v>
      </c>
      <c r="L108" s="75">
        <v>141</v>
      </c>
      <c r="M108" s="75"/>
      <c r="N108" s="69"/>
      <c r="O108" s="77" t="s">
        <v>437</v>
      </c>
      <c r="P108" s="79">
        <v>45080.181909722225</v>
      </c>
      <c r="Q108" s="77" t="s">
        <v>545</v>
      </c>
      <c r="R108" s="77">
        <v>0</v>
      </c>
      <c r="S108" s="77">
        <v>2</v>
      </c>
      <c r="T108" s="77">
        <v>0</v>
      </c>
      <c r="U108" s="77">
        <v>0</v>
      </c>
      <c r="V108" s="77">
        <v>32</v>
      </c>
      <c r="W108" s="77"/>
      <c r="X108" s="77"/>
      <c r="Y108" s="77"/>
      <c r="Z108" s="77" t="s">
        <v>640</v>
      </c>
      <c r="AA108" s="77"/>
      <c r="AB108" s="77"/>
      <c r="AC108" s="81" t="s">
        <v>674</v>
      </c>
      <c r="AD108" s="77" t="s">
        <v>686</v>
      </c>
      <c r="AE108" s="83" t="str">
        <f>HYPERLINK("https://twitter.com/a21starman/status/1664849878642753536")</f>
        <v>https://twitter.com/a21starman/status/1664849878642753536</v>
      </c>
      <c r="AF108" s="79">
        <v>45080.181909722225</v>
      </c>
      <c r="AG108" s="85">
        <v>45080</v>
      </c>
      <c r="AH108" s="81" t="s">
        <v>790</v>
      </c>
      <c r="AI108" s="77"/>
      <c r="AJ108" s="77" t="s">
        <v>845</v>
      </c>
      <c r="AK108" s="77" t="s">
        <v>849</v>
      </c>
      <c r="AL108" s="77" t="s">
        <v>850</v>
      </c>
      <c r="AM108" s="77" t="s">
        <v>869</v>
      </c>
      <c r="AN108" s="77" t="s">
        <v>891</v>
      </c>
      <c r="AO108" s="77" t="s">
        <v>913</v>
      </c>
      <c r="AP108" s="77" t="s">
        <v>917</v>
      </c>
      <c r="AQ108" s="77"/>
      <c r="AR108" s="77"/>
      <c r="AS108" s="77"/>
      <c r="AT108" s="77"/>
      <c r="AU108" s="77"/>
      <c r="AV108" s="83" t="str">
        <f>HYPERLINK("https://pbs.twimg.com/profile_images/1745292342318469120/FhRvP2yi_normal.jpg")</f>
        <v>https://pbs.twimg.com/profile_images/1745292342318469120/FhRvP2yi_normal.jpg</v>
      </c>
      <c r="AW108" s="81" t="s">
        <v>1044</v>
      </c>
      <c r="AX108" s="81" t="s">
        <v>1126</v>
      </c>
      <c r="AY108" s="81" t="s">
        <v>1189</v>
      </c>
      <c r="AZ108" s="81" t="s">
        <v>1227</v>
      </c>
      <c r="BA108" s="81" t="s">
        <v>1210</v>
      </c>
      <c r="BB108" s="81" t="s">
        <v>1210</v>
      </c>
      <c r="BC108" s="81" t="s">
        <v>1227</v>
      </c>
      <c r="BD108" s="81" t="s">
        <v>1189</v>
      </c>
      <c r="BE108" s="77"/>
      <c r="BF108" s="77"/>
      <c r="BG108" s="77"/>
      <c r="BH108" s="77"/>
      <c r="BI108" s="77"/>
      <c r="BJ108">
        <v>1</v>
      </c>
      <c r="BK108" s="76" t="str">
        <f>REPLACE(INDEX(GroupVertices[Group],MATCH("~"&amp;Edges27[[#This Row],[Vertex 1]],GroupVertices[Vertex],0)),1,1,"")</f>
        <v>14</v>
      </c>
      <c r="BL108" s="76" t="str">
        <f>REPLACE(INDEX(GroupVertices[Group],MATCH("~"&amp;Edges27[[#This Row],[Vertex 2]],GroupVertices[Vertex],0)),1,1,"")</f>
        <v>14</v>
      </c>
      <c r="BM108" s="45">
        <v>0</v>
      </c>
      <c r="BN108" s="46">
        <v>0</v>
      </c>
      <c r="BO108" s="45">
        <v>1</v>
      </c>
      <c r="BP108" s="46">
        <v>7.142857142857143</v>
      </c>
      <c r="BQ108" s="45">
        <v>0</v>
      </c>
      <c r="BR108" s="46">
        <v>0</v>
      </c>
      <c r="BS108" s="45">
        <v>6</v>
      </c>
      <c r="BT108" s="46">
        <v>42.857142857142854</v>
      </c>
      <c r="BU108" s="45">
        <v>14</v>
      </c>
    </row>
    <row r="109" spans="1:73" ht="15">
      <c r="A109" s="61" t="s">
        <v>312</v>
      </c>
      <c r="B109" s="61" t="s">
        <v>411</v>
      </c>
      <c r="C109" s="62"/>
      <c r="D109" s="63"/>
      <c r="E109" s="64"/>
      <c r="F109" s="65"/>
      <c r="G109" s="62"/>
      <c r="H109" s="66"/>
      <c r="I109" s="67"/>
      <c r="J109" s="67"/>
      <c r="K109" s="31" t="s">
        <v>65</v>
      </c>
      <c r="L109" s="75">
        <v>144</v>
      </c>
      <c r="M109" s="75"/>
      <c r="N109" s="69"/>
      <c r="O109" s="77" t="s">
        <v>438</v>
      </c>
      <c r="P109" s="79">
        <v>45313.148125</v>
      </c>
      <c r="Q109" s="77" t="s">
        <v>546</v>
      </c>
      <c r="R109" s="77">
        <v>0</v>
      </c>
      <c r="S109" s="77">
        <v>0</v>
      </c>
      <c r="T109" s="77">
        <v>0</v>
      </c>
      <c r="U109" s="77">
        <v>0</v>
      </c>
      <c r="V109" s="77">
        <v>3</v>
      </c>
      <c r="W109" s="77"/>
      <c r="X109" s="77"/>
      <c r="Y109" s="77"/>
      <c r="Z109" s="77" t="s">
        <v>411</v>
      </c>
      <c r="AA109" s="77"/>
      <c r="AB109" s="77"/>
      <c r="AC109" s="81" t="s">
        <v>674</v>
      </c>
      <c r="AD109" s="77" t="s">
        <v>686</v>
      </c>
      <c r="AE109" s="83" t="str">
        <f>HYPERLINK("https://twitter.com/dutch52050550/status/1749274009307652506")</f>
        <v>https://twitter.com/dutch52050550/status/1749274009307652506</v>
      </c>
      <c r="AF109" s="79">
        <v>45313.148125</v>
      </c>
      <c r="AG109" s="85">
        <v>45313</v>
      </c>
      <c r="AH109" s="81" t="s">
        <v>791</v>
      </c>
      <c r="AI109" s="77"/>
      <c r="AJ109" s="77"/>
      <c r="AK109" s="77"/>
      <c r="AL109" s="77"/>
      <c r="AM109" s="77"/>
      <c r="AN109" s="77"/>
      <c r="AO109" s="77"/>
      <c r="AP109" s="77"/>
      <c r="AQ109" s="77"/>
      <c r="AR109" s="77"/>
      <c r="AS109" s="77"/>
      <c r="AT109" s="77"/>
      <c r="AU109" s="77"/>
      <c r="AV109" s="83" t="str">
        <f>HYPERLINK("https://pbs.twimg.com/profile_images/1608710889632583680/1taUYWyB_normal.jpg")</f>
        <v>https://pbs.twimg.com/profile_images/1608710889632583680/1taUYWyB_normal.jpg</v>
      </c>
      <c r="AW109" s="81" t="s">
        <v>1045</v>
      </c>
      <c r="AX109" s="81" t="s">
        <v>1127</v>
      </c>
      <c r="AY109" s="81" t="s">
        <v>1190</v>
      </c>
      <c r="AZ109" s="81" t="s">
        <v>1127</v>
      </c>
      <c r="BA109" s="81" t="s">
        <v>1210</v>
      </c>
      <c r="BB109" s="81" t="s">
        <v>1210</v>
      </c>
      <c r="BC109" s="81" t="s">
        <v>1127</v>
      </c>
      <c r="BD109" s="81" t="s">
        <v>1277</v>
      </c>
      <c r="BE109" s="77"/>
      <c r="BF109" s="77"/>
      <c r="BG109" s="77"/>
      <c r="BH109" s="77"/>
      <c r="BI109" s="77"/>
      <c r="BJ109">
        <v>1</v>
      </c>
      <c r="BK109" s="76" t="str">
        <f>REPLACE(INDEX(GroupVertices[Group],MATCH("~"&amp;Edges27[[#This Row],[Vertex 1]],GroupVertices[Vertex],0)),1,1,"")</f>
        <v>35</v>
      </c>
      <c r="BL109" s="76" t="str">
        <f>REPLACE(INDEX(GroupVertices[Group],MATCH("~"&amp;Edges27[[#This Row],[Vertex 2]],GroupVertices[Vertex],0)),1,1,"")</f>
        <v>35</v>
      </c>
      <c r="BM109" s="45">
        <v>0</v>
      </c>
      <c r="BN109" s="46">
        <v>0</v>
      </c>
      <c r="BO109" s="45">
        <v>1</v>
      </c>
      <c r="BP109" s="46">
        <v>25</v>
      </c>
      <c r="BQ109" s="45">
        <v>0</v>
      </c>
      <c r="BR109" s="46">
        <v>0</v>
      </c>
      <c r="BS109" s="45">
        <v>2</v>
      </c>
      <c r="BT109" s="46">
        <v>50</v>
      </c>
      <c r="BU109" s="45">
        <v>4</v>
      </c>
    </row>
    <row r="110" spans="1:73" ht="15">
      <c r="A110" s="61" t="s">
        <v>313</v>
      </c>
      <c r="B110" s="61" t="s">
        <v>412</v>
      </c>
      <c r="C110" s="62"/>
      <c r="D110" s="63"/>
      <c r="E110" s="64"/>
      <c r="F110" s="65"/>
      <c r="G110" s="62"/>
      <c r="H110" s="66"/>
      <c r="I110" s="67"/>
      <c r="J110" s="67"/>
      <c r="K110" s="31" t="s">
        <v>65</v>
      </c>
      <c r="L110" s="75">
        <v>145</v>
      </c>
      <c r="M110" s="75"/>
      <c r="N110" s="69"/>
      <c r="O110" s="77" t="s">
        <v>437</v>
      </c>
      <c r="P110" s="79">
        <v>45316.04670138889</v>
      </c>
      <c r="Q110" s="77" t="s">
        <v>547</v>
      </c>
      <c r="R110" s="77">
        <v>0</v>
      </c>
      <c r="S110" s="77">
        <v>0</v>
      </c>
      <c r="T110" s="77">
        <v>0</v>
      </c>
      <c r="U110" s="77">
        <v>0</v>
      </c>
      <c r="V110" s="77">
        <v>12</v>
      </c>
      <c r="W110" s="77"/>
      <c r="X110" s="77"/>
      <c r="Y110" s="77"/>
      <c r="Z110" s="77" t="s">
        <v>641</v>
      </c>
      <c r="AA110" s="77"/>
      <c r="AB110" s="77"/>
      <c r="AC110" s="81" t="s">
        <v>678</v>
      </c>
      <c r="AD110" s="77" t="s">
        <v>686</v>
      </c>
      <c r="AE110" s="83" t="str">
        <f>HYPERLINK("https://twitter.com/lostdiva/status/1750324419812339959")</f>
        <v>https://twitter.com/lostdiva/status/1750324419812339959</v>
      </c>
      <c r="AF110" s="79">
        <v>45316.04670138889</v>
      </c>
      <c r="AG110" s="85">
        <v>45316</v>
      </c>
      <c r="AH110" s="81" t="s">
        <v>792</v>
      </c>
      <c r="AI110" s="77"/>
      <c r="AJ110" s="77"/>
      <c r="AK110" s="77"/>
      <c r="AL110" s="77"/>
      <c r="AM110" s="77"/>
      <c r="AN110" s="77"/>
      <c r="AO110" s="77"/>
      <c r="AP110" s="77"/>
      <c r="AQ110" s="77"/>
      <c r="AR110" s="77"/>
      <c r="AS110" s="77"/>
      <c r="AT110" s="77"/>
      <c r="AU110" s="77"/>
      <c r="AV110" s="83" t="str">
        <f>HYPERLINK("https://pbs.twimg.com/profile_images/1733025846527729664/gp53xZCk_normal.jpg")</f>
        <v>https://pbs.twimg.com/profile_images/1733025846527729664/gp53xZCk_normal.jpg</v>
      </c>
      <c r="AW110" s="81" t="s">
        <v>1046</v>
      </c>
      <c r="AX110" s="81" t="s">
        <v>1128</v>
      </c>
      <c r="AY110" s="81" t="s">
        <v>1191</v>
      </c>
      <c r="AZ110" s="81" t="s">
        <v>1228</v>
      </c>
      <c r="BA110" s="81" t="s">
        <v>1210</v>
      </c>
      <c r="BB110" s="81" t="s">
        <v>1210</v>
      </c>
      <c r="BC110" s="81" t="s">
        <v>1228</v>
      </c>
      <c r="BD110" s="77">
        <v>22869375</v>
      </c>
      <c r="BE110" s="77"/>
      <c r="BF110" s="77"/>
      <c r="BG110" s="77"/>
      <c r="BH110" s="77"/>
      <c r="BI110" s="77"/>
      <c r="BJ110">
        <v>1</v>
      </c>
      <c r="BK110" s="76" t="str">
        <f>REPLACE(INDEX(GroupVertices[Group],MATCH("~"&amp;Edges27[[#This Row],[Vertex 1]],GroupVertices[Vertex],0)),1,1,"")</f>
        <v>13</v>
      </c>
      <c r="BL110" s="76" t="str">
        <f>REPLACE(INDEX(GroupVertices[Group],MATCH("~"&amp;Edges27[[#This Row],[Vertex 2]],GroupVertices[Vertex],0)),1,1,"")</f>
        <v>13</v>
      </c>
      <c r="BM110" s="45"/>
      <c r="BN110" s="46"/>
      <c r="BO110" s="45"/>
      <c r="BP110" s="46"/>
      <c r="BQ110" s="45"/>
      <c r="BR110" s="46"/>
      <c r="BS110" s="45"/>
      <c r="BT110" s="46"/>
      <c r="BU110" s="45"/>
    </row>
    <row r="111" spans="1:73" ht="15">
      <c r="A111" s="61" t="s">
        <v>314</v>
      </c>
      <c r="B111" s="61" t="s">
        <v>414</v>
      </c>
      <c r="C111" s="62"/>
      <c r="D111" s="63"/>
      <c r="E111" s="64"/>
      <c r="F111" s="65"/>
      <c r="G111" s="62"/>
      <c r="H111" s="66"/>
      <c r="I111" s="67"/>
      <c r="J111" s="67"/>
      <c r="K111" s="31" t="s">
        <v>65</v>
      </c>
      <c r="L111" s="75">
        <v>147</v>
      </c>
      <c r="M111" s="75"/>
      <c r="N111" s="69"/>
      <c r="O111" s="77" t="s">
        <v>438</v>
      </c>
      <c r="P111" s="79">
        <v>45174.03121527778</v>
      </c>
      <c r="Q111" s="77" t="s">
        <v>548</v>
      </c>
      <c r="R111" s="77">
        <v>0</v>
      </c>
      <c r="S111" s="77">
        <v>0</v>
      </c>
      <c r="T111" s="77">
        <v>1</v>
      </c>
      <c r="U111" s="77">
        <v>0</v>
      </c>
      <c r="V111" s="77">
        <v>42</v>
      </c>
      <c r="W111" s="77"/>
      <c r="X111" s="77"/>
      <c r="Y111" s="77"/>
      <c r="Z111" s="77" t="s">
        <v>414</v>
      </c>
      <c r="AA111" s="77"/>
      <c r="AB111" s="77"/>
      <c r="AC111" s="81" t="s">
        <v>678</v>
      </c>
      <c r="AD111" s="77" t="s">
        <v>686</v>
      </c>
      <c r="AE111" s="83" t="str">
        <f>HYPERLINK("https://twitter.com/beelofosho/status/1698859727701291245")</f>
        <v>https://twitter.com/beelofosho/status/1698859727701291245</v>
      </c>
      <c r="AF111" s="79">
        <v>45174.03121527778</v>
      </c>
      <c r="AG111" s="85">
        <v>45174</v>
      </c>
      <c r="AH111" s="81" t="s">
        <v>793</v>
      </c>
      <c r="AI111" s="77"/>
      <c r="AJ111" s="77" t="s">
        <v>847</v>
      </c>
      <c r="AK111" s="77" t="s">
        <v>849</v>
      </c>
      <c r="AL111" s="77" t="s">
        <v>850</v>
      </c>
      <c r="AM111" s="77" t="s">
        <v>871</v>
      </c>
      <c r="AN111" s="77" t="s">
        <v>893</v>
      </c>
      <c r="AO111" s="77" t="s">
        <v>915</v>
      </c>
      <c r="AP111" s="77" t="s">
        <v>917</v>
      </c>
      <c r="AQ111" s="77"/>
      <c r="AR111" s="77"/>
      <c r="AS111" s="77"/>
      <c r="AT111" s="77"/>
      <c r="AU111" s="77"/>
      <c r="AV111" s="83" t="str">
        <f>HYPERLINK("https://pbs.twimg.com/profile_images/1730702967630901248/lNf0-VjA_normal.jpg")</f>
        <v>https://pbs.twimg.com/profile_images/1730702967630901248/lNf0-VjA_normal.jpg</v>
      </c>
      <c r="AW111" s="81" t="s">
        <v>1047</v>
      </c>
      <c r="AX111" s="81" t="s">
        <v>1129</v>
      </c>
      <c r="AY111" s="81" t="s">
        <v>1192</v>
      </c>
      <c r="AZ111" s="81" t="s">
        <v>1229</v>
      </c>
      <c r="BA111" s="81" t="s">
        <v>1210</v>
      </c>
      <c r="BB111" s="81" t="s">
        <v>1210</v>
      </c>
      <c r="BC111" s="81" t="s">
        <v>1229</v>
      </c>
      <c r="BD111" s="77">
        <v>541855177</v>
      </c>
      <c r="BE111" s="77"/>
      <c r="BF111" s="77"/>
      <c r="BG111" s="77"/>
      <c r="BH111" s="77"/>
      <c r="BI111" s="77"/>
      <c r="BJ111">
        <v>1</v>
      </c>
      <c r="BK111" s="76" t="str">
        <f>REPLACE(INDEX(GroupVertices[Group],MATCH("~"&amp;Edges27[[#This Row],[Vertex 1]],GroupVertices[Vertex],0)),1,1,"")</f>
        <v>34</v>
      </c>
      <c r="BL111" s="76" t="str">
        <f>REPLACE(INDEX(GroupVertices[Group],MATCH("~"&amp;Edges27[[#This Row],[Vertex 2]],GroupVertices[Vertex],0)),1,1,"")</f>
        <v>34</v>
      </c>
      <c r="BM111" s="45">
        <v>1</v>
      </c>
      <c r="BN111" s="46">
        <v>2</v>
      </c>
      <c r="BO111" s="45">
        <v>1</v>
      </c>
      <c r="BP111" s="46">
        <v>2</v>
      </c>
      <c r="BQ111" s="45">
        <v>0</v>
      </c>
      <c r="BR111" s="46">
        <v>0</v>
      </c>
      <c r="BS111" s="45">
        <v>24</v>
      </c>
      <c r="BT111" s="46">
        <v>48</v>
      </c>
      <c r="BU111" s="45">
        <v>50</v>
      </c>
    </row>
    <row r="112" spans="1:73" ht="15">
      <c r="A112" s="61" t="s">
        <v>315</v>
      </c>
      <c r="B112" s="61" t="s">
        <v>415</v>
      </c>
      <c r="C112" s="62"/>
      <c r="D112" s="63"/>
      <c r="E112" s="64"/>
      <c r="F112" s="65"/>
      <c r="G112" s="62"/>
      <c r="H112" s="66"/>
      <c r="I112" s="67"/>
      <c r="J112" s="67"/>
      <c r="K112" s="31" t="s">
        <v>65</v>
      </c>
      <c r="L112" s="75">
        <v>148</v>
      </c>
      <c r="M112" s="75"/>
      <c r="N112" s="69"/>
      <c r="O112" s="77" t="s">
        <v>438</v>
      </c>
      <c r="P112" s="79">
        <v>45206.78606481481</v>
      </c>
      <c r="Q112" s="77" t="s">
        <v>549</v>
      </c>
      <c r="R112" s="77">
        <v>0</v>
      </c>
      <c r="S112" s="77">
        <v>1</v>
      </c>
      <c r="T112" s="77">
        <v>2</v>
      </c>
      <c r="U112" s="77">
        <v>0</v>
      </c>
      <c r="V112" s="77">
        <v>147</v>
      </c>
      <c r="W112" s="77"/>
      <c r="X112" s="77"/>
      <c r="Y112" s="77"/>
      <c r="Z112" s="77" t="s">
        <v>415</v>
      </c>
      <c r="AA112" s="77"/>
      <c r="AB112" s="77"/>
      <c r="AC112" s="81" t="s">
        <v>677</v>
      </c>
      <c r="AD112" s="77" t="s">
        <v>686</v>
      </c>
      <c r="AE112" s="83" t="str">
        <f>HYPERLINK("https://twitter.com/j_mcdonald81/status/1710729688250044693")</f>
        <v>https://twitter.com/j_mcdonald81/status/1710729688250044693</v>
      </c>
      <c r="AF112" s="79">
        <v>45206.78606481481</v>
      </c>
      <c r="AG112" s="85">
        <v>45206</v>
      </c>
      <c r="AH112" s="81" t="s">
        <v>794</v>
      </c>
      <c r="AI112" s="77"/>
      <c r="AJ112" s="77" t="s">
        <v>847</v>
      </c>
      <c r="AK112" s="77" t="s">
        <v>849</v>
      </c>
      <c r="AL112" s="77" t="s">
        <v>850</v>
      </c>
      <c r="AM112" s="77" t="s">
        <v>871</v>
      </c>
      <c r="AN112" s="77" t="s">
        <v>893</v>
      </c>
      <c r="AO112" s="77" t="s">
        <v>915</v>
      </c>
      <c r="AP112" s="77" t="s">
        <v>917</v>
      </c>
      <c r="AQ112" s="77"/>
      <c r="AR112" s="77"/>
      <c r="AS112" s="77"/>
      <c r="AT112" s="77"/>
      <c r="AU112" s="77"/>
      <c r="AV112" s="83" t="str">
        <f>HYPERLINK("https://pbs.twimg.com/profile_images/1078371610896195584/pKIUmOgq_normal.jpg")</f>
        <v>https://pbs.twimg.com/profile_images/1078371610896195584/pKIUmOgq_normal.jpg</v>
      </c>
      <c r="AW112" s="81" t="s">
        <v>1048</v>
      </c>
      <c r="AX112" s="81" t="s">
        <v>1130</v>
      </c>
      <c r="AY112" s="81" t="s">
        <v>1193</v>
      </c>
      <c r="AZ112" s="81" t="s">
        <v>1230</v>
      </c>
      <c r="BA112" s="81" t="s">
        <v>1210</v>
      </c>
      <c r="BB112" s="81" t="s">
        <v>1210</v>
      </c>
      <c r="BC112" s="81" t="s">
        <v>1230</v>
      </c>
      <c r="BD112" s="77">
        <v>352146432</v>
      </c>
      <c r="BE112" s="77"/>
      <c r="BF112" s="77"/>
      <c r="BG112" s="77"/>
      <c r="BH112" s="77"/>
      <c r="BI112" s="77"/>
      <c r="BJ112">
        <v>2</v>
      </c>
      <c r="BK112" s="76" t="str">
        <f>REPLACE(INDEX(GroupVertices[Group],MATCH("~"&amp;Edges27[[#This Row],[Vertex 1]],GroupVertices[Vertex],0)),1,1,"")</f>
        <v>33</v>
      </c>
      <c r="BL112" s="76" t="str">
        <f>REPLACE(INDEX(GroupVertices[Group],MATCH("~"&amp;Edges27[[#This Row],[Vertex 2]],GroupVertices[Vertex],0)),1,1,"")</f>
        <v>33</v>
      </c>
      <c r="BM112" s="45">
        <v>1</v>
      </c>
      <c r="BN112" s="46">
        <v>1.8181818181818181</v>
      </c>
      <c r="BO112" s="45">
        <v>2</v>
      </c>
      <c r="BP112" s="46">
        <v>3.6363636363636362</v>
      </c>
      <c r="BQ112" s="45">
        <v>0</v>
      </c>
      <c r="BR112" s="46">
        <v>0</v>
      </c>
      <c r="BS112" s="45">
        <v>25</v>
      </c>
      <c r="BT112" s="46">
        <v>45.45454545454545</v>
      </c>
      <c r="BU112" s="45">
        <v>55</v>
      </c>
    </row>
    <row r="113" spans="1:73" ht="15">
      <c r="A113" s="61" t="s">
        <v>315</v>
      </c>
      <c r="B113" s="61" t="s">
        <v>415</v>
      </c>
      <c r="C113" s="62"/>
      <c r="D113" s="63"/>
      <c r="E113" s="64"/>
      <c r="F113" s="65"/>
      <c r="G113" s="62"/>
      <c r="H113" s="66"/>
      <c r="I113" s="67"/>
      <c r="J113" s="67"/>
      <c r="K113" s="31" t="s">
        <v>65</v>
      </c>
      <c r="L113" s="75">
        <v>149</v>
      </c>
      <c r="M113" s="75"/>
      <c r="N113" s="69"/>
      <c r="O113" s="77" t="s">
        <v>438</v>
      </c>
      <c r="P113" s="79">
        <v>45206.765543981484</v>
      </c>
      <c r="Q113" s="77" t="s">
        <v>550</v>
      </c>
      <c r="R113" s="77">
        <v>0</v>
      </c>
      <c r="S113" s="77">
        <v>1</v>
      </c>
      <c r="T113" s="77">
        <v>1</v>
      </c>
      <c r="U113" s="77">
        <v>0</v>
      </c>
      <c r="V113" s="77">
        <v>414</v>
      </c>
      <c r="W113" s="77"/>
      <c r="X113" s="77"/>
      <c r="Y113" s="77"/>
      <c r="Z113" s="77" t="s">
        <v>415</v>
      </c>
      <c r="AA113" s="77"/>
      <c r="AB113" s="77"/>
      <c r="AC113" s="81" t="s">
        <v>677</v>
      </c>
      <c r="AD113" s="77" t="s">
        <v>686</v>
      </c>
      <c r="AE113" s="83" t="str">
        <f>HYPERLINK("https://twitter.com/j_mcdonald81/status/1710722251216298486")</f>
        <v>https://twitter.com/j_mcdonald81/status/1710722251216298486</v>
      </c>
      <c r="AF113" s="79">
        <v>45206.765543981484</v>
      </c>
      <c r="AG113" s="85">
        <v>45206</v>
      </c>
      <c r="AH113" s="81" t="s">
        <v>795</v>
      </c>
      <c r="AI113" s="77"/>
      <c r="AJ113" s="77" t="s">
        <v>847</v>
      </c>
      <c r="AK113" s="77" t="s">
        <v>849</v>
      </c>
      <c r="AL113" s="77" t="s">
        <v>850</v>
      </c>
      <c r="AM113" s="77" t="s">
        <v>871</v>
      </c>
      <c r="AN113" s="77" t="s">
        <v>893</v>
      </c>
      <c r="AO113" s="77" t="s">
        <v>915</v>
      </c>
      <c r="AP113" s="77" t="s">
        <v>917</v>
      </c>
      <c r="AQ113" s="77"/>
      <c r="AR113" s="77"/>
      <c r="AS113" s="77"/>
      <c r="AT113" s="77"/>
      <c r="AU113" s="77"/>
      <c r="AV113" s="83" t="str">
        <f>HYPERLINK("https://pbs.twimg.com/profile_images/1078371610896195584/pKIUmOgq_normal.jpg")</f>
        <v>https://pbs.twimg.com/profile_images/1078371610896195584/pKIUmOgq_normal.jpg</v>
      </c>
      <c r="AW113" s="81" t="s">
        <v>1049</v>
      </c>
      <c r="AX113" s="81" t="s">
        <v>1130</v>
      </c>
      <c r="AY113" s="81" t="s">
        <v>1193</v>
      </c>
      <c r="AZ113" s="81" t="s">
        <v>1130</v>
      </c>
      <c r="BA113" s="81" t="s">
        <v>1210</v>
      </c>
      <c r="BB113" s="81" t="s">
        <v>1210</v>
      </c>
      <c r="BC113" s="81" t="s">
        <v>1130</v>
      </c>
      <c r="BD113" s="77">
        <v>352146432</v>
      </c>
      <c r="BE113" s="77"/>
      <c r="BF113" s="77"/>
      <c r="BG113" s="77"/>
      <c r="BH113" s="77"/>
      <c r="BI113" s="77"/>
      <c r="BJ113">
        <v>2</v>
      </c>
      <c r="BK113" s="76" t="str">
        <f>REPLACE(INDEX(GroupVertices[Group],MATCH("~"&amp;Edges27[[#This Row],[Vertex 1]],GroupVertices[Vertex],0)),1,1,"")</f>
        <v>33</v>
      </c>
      <c r="BL113" s="76" t="str">
        <f>REPLACE(INDEX(GroupVertices[Group],MATCH("~"&amp;Edges27[[#This Row],[Vertex 2]],GroupVertices[Vertex],0)),1,1,"")</f>
        <v>33</v>
      </c>
      <c r="BM113" s="45">
        <v>0</v>
      </c>
      <c r="BN113" s="46">
        <v>0</v>
      </c>
      <c r="BO113" s="45">
        <v>1</v>
      </c>
      <c r="BP113" s="46">
        <v>4.3478260869565215</v>
      </c>
      <c r="BQ113" s="45">
        <v>0</v>
      </c>
      <c r="BR113" s="46">
        <v>0</v>
      </c>
      <c r="BS113" s="45">
        <v>14</v>
      </c>
      <c r="BT113" s="46">
        <v>60.869565217391305</v>
      </c>
      <c r="BU113" s="45">
        <v>23</v>
      </c>
    </row>
    <row r="114" spans="1:73" ht="15">
      <c r="A114" s="61" t="s">
        <v>316</v>
      </c>
      <c r="B114" s="61" t="s">
        <v>376</v>
      </c>
      <c r="C114" s="62"/>
      <c r="D114" s="63"/>
      <c r="E114" s="64"/>
      <c r="F114" s="65"/>
      <c r="G114" s="62"/>
      <c r="H114" s="66"/>
      <c r="I114" s="67"/>
      <c r="J114" s="67"/>
      <c r="K114" s="31" t="s">
        <v>65</v>
      </c>
      <c r="L114" s="75">
        <v>150</v>
      </c>
      <c r="M114" s="75"/>
      <c r="N114" s="69"/>
      <c r="O114" s="77" t="s">
        <v>440</v>
      </c>
      <c r="P114" s="79">
        <v>44947.892696759256</v>
      </c>
      <c r="Q114" s="77" t="s">
        <v>551</v>
      </c>
      <c r="R114" s="77">
        <v>1</v>
      </c>
      <c r="S114" s="77">
        <v>4</v>
      </c>
      <c r="T114" s="77">
        <v>1</v>
      </c>
      <c r="U114" s="77">
        <v>0</v>
      </c>
      <c r="V114" s="77">
        <v>334</v>
      </c>
      <c r="W114" s="81" t="s">
        <v>416</v>
      </c>
      <c r="X114" s="77"/>
      <c r="Y114" s="77"/>
      <c r="Z114" s="77" t="s">
        <v>642</v>
      </c>
      <c r="AA114" s="77"/>
      <c r="AB114" s="77"/>
      <c r="AC114" s="81" t="s">
        <v>677</v>
      </c>
      <c r="AD114" s="77" t="s">
        <v>686</v>
      </c>
      <c r="AE114" s="83" t="str">
        <f>HYPERLINK("https://twitter.com/pdxblake/status/1616909875031965696")</f>
        <v>https://twitter.com/pdxblake/status/1616909875031965696</v>
      </c>
      <c r="AF114" s="79">
        <v>44947.892696759256</v>
      </c>
      <c r="AG114" s="85">
        <v>44947</v>
      </c>
      <c r="AH114" s="81" t="s">
        <v>796</v>
      </c>
      <c r="AI114" s="77"/>
      <c r="AJ114" s="77" t="s">
        <v>828</v>
      </c>
      <c r="AK114" s="77" t="s">
        <v>849</v>
      </c>
      <c r="AL114" s="77" t="s">
        <v>850</v>
      </c>
      <c r="AM114" s="77" t="s">
        <v>852</v>
      </c>
      <c r="AN114" s="77" t="s">
        <v>874</v>
      </c>
      <c r="AO114" s="77" t="s">
        <v>896</v>
      </c>
      <c r="AP114" s="77" t="s">
        <v>917</v>
      </c>
      <c r="AQ114" s="77"/>
      <c r="AR114" s="77"/>
      <c r="AS114" s="77"/>
      <c r="AT114" s="77"/>
      <c r="AU114" s="77"/>
      <c r="AV114" s="83" t="str">
        <f>HYPERLINK("https://pbs.twimg.com/profile_images/1681120494962225152/2iGrngKt_normal.jpg")</f>
        <v>https://pbs.twimg.com/profile_images/1681120494962225152/2iGrngKt_normal.jpg</v>
      </c>
      <c r="AW114" s="81" t="s">
        <v>1050</v>
      </c>
      <c r="AX114" s="81" t="s">
        <v>1050</v>
      </c>
      <c r="AY114" s="77"/>
      <c r="AZ114" s="81" t="s">
        <v>1210</v>
      </c>
      <c r="BA114" s="81" t="s">
        <v>1210</v>
      </c>
      <c r="BB114" s="81" t="s">
        <v>1210</v>
      </c>
      <c r="BC114" s="81" t="s">
        <v>1050</v>
      </c>
      <c r="BD114" s="77">
        <v>87288368</v>
      </c>
      <c r="BE114" s="77"/>
      <c r="BF114" s="77"/>
      <c r="BG114" s="77"/>
      <c r="BH114" s="77"/>
      <c r="BI114" s="77"/>
      <c r="BJ114">
        <v>1</v>
      </c>
      <c r="BK114" s="76" t="str">
        <f>REPLACE(INDEX(GroupVertices[Group],MATCH("~"&amp;Edges27[[#This Row],[Vertex 1]],GroupVertices[Vertex],0)),1,1,"")</f>
        <v>2</v>
      </c>
      <c r="BL114" s="76" t="str">
        <f>REPLACE(INDEX(GroupVertices[Group],MATCH("~"&amp;Edges27[[#This Row],[Vertex 2]],GroupVertices[Vertex],0)),1,1,"")</f>
        <v>2</v>
      </c>
      <c r="BM114" s="45"/>
      <c r="BN114" s="46"/>
      <c r="BO114" s="45"/>
      <c r="BP114" s="46"/>
      <c r="BQ114" s="45"/>
      <c r="BR114" s="46"/>
      <c r="BS114" s="45"/>
      <c r="BT114" s="46"/>
      <c r="BU114" s="45"/>
    </row>
    <row r="115" spans="1:73" ht="15">
      <c r="A115" s="61" t="s">
        <v>316</v>
      </c>
      <c r="B115" s="61" t="s">
        <v>416</v>
      </c>
      <c r="C115" s="62"/>
      <c r="D115" s="63"/>
      <c r="E115" s="64"/>
      <c r="F115" s="65"/>
      <c r="G115" s="62"/>
      <c r="H115" s="66"/>
      <c r="I115" s="67"/>
      <c r="J115" s="67"/>
      <c r="K115" s="31" t="s">
        <v>65</v>
      </c>
      <c r="L115" s="75">
        <v>152</v>
      </c>
      <c r="M115" s="75"/>
      <c r="N115" s="69"/>
      <c r="O115" s="77" t="s">
        <v>438</v>
      </c>
      <c r="P115" s="79">
        <v>45031.04790509259</v>
      </c>
      <c r="Q115" s="77" t="s">
        <v>552</v>
      </c>
      <c r="R115" s="77">
        <v>0</v>
      </c>
      <c r="S115" s="77">
        <v>2</v>
      </c>
      <c r="T115" s="77">
        <v>1</v>
      </c>
      <c r="U115" s="77">
        <v>1</v>
      </c>
      <c r="V115" s="77">
        <v>121</v>
      </c>
      <c r="W115" s="77"/>
      <c r="X115" s="83" t="str">
        <f>HYPERLINK("https://www.sec.gov/news/press-release/2022-97")</f>
        <v>https://www.sec.gov/news/press-release/2022-97</v>
      </c>
      <c r="Y115" s="77" t="s">
        <v>615</v>
      </c>
      <c r="Z115" s="77" t="s">
        <v>416</v>
      </c>
      <c r="AA115" s="77" t="s">
        <v>661</v>
      </c>
      <c r="AB115" s="77" t="s">
        <v>671</v>
      </c>
      <c r="AC115" s="81" t="s">
        <v>677</v>
      </c>
      <c r="AD115" s="77" t="s">
        <v>686</v>
      </c>
      <c r="AE115" s="83" t="str">
        <f>HYPERLINK("https://twitter.com/pdxblake/status/1647044311543083008")</f>
        <v>https://twitter.com/pdxblake/status/1647044311543083008</v>
      </c>
      <c r="AF115" s="79">
        <v>45031.04790509259</v>
      </c>
      <c r="AG115" s="85">
        <v>45031</v>
      </c>
      <c r="AH115" s="81" t="s">
        <v>797</v>
      </c>
      <c r="AI115" s="77" t="b">
        <v>0</v>
      </c>
      <c r="AJ115" s="77" t="s">
        <v>828</v>
      </c>
      <c r="AK115" s="77" t="s">
        <v>849</v>
      </c>
      <c r="AL115" s="77" t="s">
        <v>850</v>
      </c>
      <c r="AM115" s="77" t="s">
        <v>852</v>
      </c>
      <c r="AN115" s="77" t="s">
        <v>874</v>
      </c>
      <c r="AO115" s="77" t="s">
        <v>896</v>
      </c>
      <c r="AP115" s="77" t="s">
        <v>917</v>
      </c>
      <c r="AQ115" s="77" t="s">
        <v>932</v>
      </c>
      <c r="AR115" s="77"/>
      <c r="AS115" s="77"/>
      <c r="AT115" s="77"/>
      <c r="AU115" s="77"/>
      <c r="AV115" s="83" t="str">
        <f>HYPERLINK("https://pbs.twimg.com/media/Ftt6EnlaYAEMUzq.jpg")</f>
        <v>https://pbs.twimg.com/media/Ftt6EnlaYAEMUzq.jpg</v>
      </c>
      <c r="AW115" s="81" t="s">
        <v>1051</v>
      </c>
      <c r="AX115" s="81" t="s">
        <v>1131</v>
      </c>
      <c r="AY115" s="81" t="s">
        <v>1194</v>
      </c>
      <c r="AZ115" s="81" t="s">
        <v>1131</v>
      </c>
      <c r="BA115" s="81" t="s">
        <v>1210</v>
      </c>
      <c r="BB115" s="81" t="s">
        <v>1210</v>
      </c>
      <c r="BC115" s="81" t="s">
        <v>1131</v>
      </c>
      <c r="BD115" s="77">
        <v>87288368</v>
      </c>
      <c r="BE115" s="77"/>
      <c r="BF115" s="77"/>
      <c r="BG115" s="77"/>
      <c r="BH115" s="77"/>
      <c r="BI115" s="77"/>
      <c r="BJ115">
        <v>1</v>
      </c>
      <c r="BK115" s="76" t="str">
        <f>REPLACE(INDEX(GroupVertices[Group],MATCH("~"&amp;Edges27[[#This Row],[Vertex 1]],GroupVertices[Vertex],0)),1,1,"")</f>
        <v>2</v>
      </c>
      <c r="BL115" s="76" t="str">
        <f>REPLACE(INDEX(GroupVertices[Group],MATCH("~"&amp;Edges27[[#This Row],[Vertex 2]],GroupVertices[Vertex],0)),1,1,"")</f>
        <v>2</v>
      </c>
      <c r="BM115" s="45">
        <v>1</v>
      </c>
      <c r="BN115" s="46">
        <v>2.9411764705882355</v>
      </c>
      <c r="BO115" s="45">
        <v>1</v>
      </c>
      <c r="BP115" s="46">
        <v>2.9411764705882355</v>
      </c>
      <c r="BQ115" s="45">
        <v>0</v>
      </c>
      <c r="BR115" s="46">
        <v>0</v>
      </c>
      <c r="BS115" s="45">
        <v>17</v>
      </c>
      <c r="BT115" s="46">
        <v>50</v>
      </c>
      <c r="BU115" s="45">
        <v>34</v>
      </c>
    </row>
    <row r="116" spans="1:73" ht="15">
      <c r="A116" s="61" t="s">
        <v>317</v>
      </c>
      <c r="B116" s="61" t="s">
        <v>417</v>
      </c>
      <c r="C116" s="62"/>
      <c r="D116" s="63"/>
      <c r="E116" s="64"/>
      <c r="F116" s="65"/>
      <c r="G116" s="62"/>
      <c r="H116" s="66"/>
      <c r="I116" s="67"/>
      <c r="J116" s="67"/>
      <c r="K116" s="31" t="s">
        <v>65</v>
      </c>
      <c r="L116" s="75">
        <v>153</v>
      </c>
      <c r="M116" s="75"/>
      <c r="N116" s="69"/>
      <c r="O116" s="77" t="s">
        <v>440</v>
      </c>
      <c r="P116" s="79">
        <v>45214.989803240744</v>
      </c>
      <c r="Q116" s="77" t="s">
        <v>553</v>
      </c>
      <c r="R116" s="77">
        <v>889</v>
      </c>
      <c r="S116" s="77">
        <v>10238</v>
      </c>
      <c r="T116" s="77">
        <v>610</v>
      </c>
      <c r="U116" s="77">
        <v>484</v>
      </c>
      <c r="V116" s="77">
        <v>4629363</v>
      </c>
      <c r="W116" s="81" t="s">
        <v>595</v>
      </c>
      <c r="X116" s="77"/>
      <c r="Y116" s="77"/>
      <c r="Z116" s="77" t="s">
        <v>417</v>
      </c>
      <c r="AA116" s="77" t="s">
        <v>662</v>
      </c>
      <c r="AB116" s="77" t="s">
        <v>672</v>
      </c>
      <c r="AC116" s="81" t="s">
        <v>682</v>
      </c>
      <c r="AD116" s="77" t="s">
        <v>686</v>
      </c>
      <c r="AE116" s="83" t="str">
        <f>HYPERLINK("https://twitter.com/mysportsupdate/status/1713702623033917749")</f>
        <v>https://twitter.com/mysportsupdate/status/1713702623033917749</v>
      </c>
      <c r="AF116" s="79">
        <v>45214.989803240744</v>
      </c>
      <c r="AG116" s="85">
        <v>45214</v>
      </c>
      <c r="AH116" s="81" t="s">
        <v>798</v>
      </c>
      <c r="AI116" s="77" t="b">
        <v>0</v>
      </c>
      <c r="AJ116" s="77"/>
      <c r="AK116" s="77"/>
      <c r="AL116" s="77"/>
      <c r="AM116" s="77"/>
      <c r="AN116" s="77"/>
      <c r="AO116" s="77"/>
      <c r="AP116" s="77"/>
      <c r="AQ116" s="77" t="s">
        <v>933</v>
      </c>
      <c r="AR116" s="77">
        <v>87687</v>
      </c>
      <c r="AS116" s="77"/>
      <c r="AT116" s="77"/>
      <c r="AU116" s="77"/>
      <c r="AV116" s="83" t="str">
        <f>HYPERLINK("https://pbs.twimg.com/ext_tw_video_thumb/1713681394151415808/pu/img/AEt4hHIwlUhA_DMV.jpg")</f>
        <v>https://pbs.twimg.com/ext_tw_video_thumb/1713681394151415808/pu/img/AEt4hHIwlUhA_DMV.jpg</v>
      </c>
      <c r="AW116" s="81" t="s">
        <v>1052</v>
      </c>
      <c r="AX116" s="81" t="s">
        <v>1052</v>
      </c>
      <c r="AY116" s="77"/>
      <c r="AZ116" s="81" t="s">
        <v>1210</v>
      </c>
      <c r="BA116" s="81" t="s">
        <v>1210</v>
      </c>
      <c r="BB116" s="81" t="s">
        <v>1210</v>
      </c>
      <c r="BC116" s="81" t="s">
        <v>1052</v>
      </c>
      <c r="BD116" s="77">
        <v>1312367672</v>
      </c>
      <c r="BE116" s="77"/>
      <c r="BF116" s="77"/>
      <c r="BG116" s="77"/>
      <c r="BH116" s="77"/>
      <c r="BI116" s="77"/>
      <c r="BJ116">
        <v>1</v>
      </c>
      <c r="BK116" s="76" t="str">
        <f>REPLACE(INDEX(GroupVertices[Group],MATCH("~"&amp;Edges27[[#This Row],[Vertex 1]],GroupVertices[Vertex],0)),1,1,"")</f>
        <v>12</v>
      </c>
      <c r="BL116" s="76" t="str">
        <f>REPLACE(INDEX(GroupVertices[Group],MATCH("~"&amp;Edges27[[#This Row],[Vertex 2]],GroupVertices[Vertex],0)),1,1,"")</f>
        <v>12</v>
      </c>
      <c r="BM116" s="45">
        <v>0</v>
      </c>
      <c r="BN116" s="46">
        <v>0</v>
      </c>
      <c r="BO116" s="45">
        <v>3</v>
      </c>
      <c r="BP116" s="46">
        <v>7.142857142857143</v>
      </c>
      <c r="BQ116" s="45">
        <v>0</v>
      </c>
      <c r="BR116" s="46">
        <v>0</v>
      </c>
      <c r="BS116" s="45">
        <v>22</v>
      </c>
      <c r="BT116" s="46">
        <v>52.38095238095238</v>
      </c>
      <c r="BU116" s="45">
        <v>42</v>
      </c>
    </row>
    <row r="117" spans="1:73" ht="15">
      <c r="A117" s="61" t="s">
        <v>318</v>
      </c>
      <c r="B117" s="61" t="s">
        <v>418</v>
      </c>
      <c r="C117" s="62"/>
      <c r="D117" s="63"/>
      <c r="E117" s="64"/>
      <c r="F117" s="65"/>
      <c r="G117" s="62"/>
      <c r="H117" s="66"/>
      <c r="I117" s="67"/>
      <c r="J117" s="67"/>
      <c r="K117" s="31" t="s">
        <v>65</v>
      </c>
      <c r="L117" s="75">
        <v>154</v>
      </c>
      <c r="M117" s="75"/>
      <c r="N117" s="69"/>
      <c r="O117" s="77" t="s">
        <v>438</v>
      </c>
      <c r="P117" s="79">
        <v>45072.002974537034</v>
      </c>
      <c r="Q117" s="77" t="s">
        <v>554</v>
      </c>
      <c r="R117" s="77">
        <v>0</v>
      </c>
      <c r="S117" s="77">
        <v>3</v>
      </c>
      <c r="T117" s="77">
        <v>0</v>
      </c>
      <c r="U117" s="77">
        <v>0</v>
      </c>
      <c r="V117" s="77">
        <v>66</v>
      </c>
      <c r="W117" s="77"/>
      <c r="X117" s="77"/>
      <c r="Y117" s="77"/>
      <c r="Z117" s="77" t="s">
        <v>418</v>
      </c>
      <c r="AA117" s="77" t="s">
        <v>663</v>
      </c>
      <c r="AB117" s="77" t="s">
        <v>671</v>
      </c>
      <c r="AC117" s="81" t="s">
        <v>674</v>
      </c>
      <c r="AD117" s="77" t="s">
        <v>686</v>
      </c>
      <c r="AE117" s="83" t="str">
        <f>HYPERLINK("https://twitter.com/quintonmurdock/status/1661885931794874368")</f>
        <v>https://twitter.com/quintonmurdock/status/1661885931794874368</v>
      </c>
      <c r="AF117" s="79">
        <v>45072.002974537034</v>
      </c>
      <c r="AG117" s="85">
        <v>45072</v>
      </c>
      <c r="AH117" s="81" t="s">
        <v>799</v>
      </c>
      <c r="AI117" s="77" t="b">
        <v>0</v>
      </c>
      <c r="AJ117" s="77" t="s">
        <v>828</v>
      </c>
      <c r="AK117" s="77" t="s">
        <v>849</v>
      </c>
      <c r="AL117" s="77" t="s">
        <v>850</v>
      </c>
      <c r="AM117" s="77" t="s">
        <v>852</v>
      </c>
      <c r="AN117" s="77" t="s">
        <v>874</v>
      </c>
      <c r="AO117" s="77" t="s">
        <v>896</v>
      </c>
      <c r="AP117" s="77" t="s">
        <v>917</v>
      </c>
      <c r="AQ117" s="77" t="s">
        <v>934</v>
      </c>
      <c r="AR117" s="77"/>
      <c r="AS117" s="77"/>
      <c r="AT117" s="77"/>
      <c r="AU117" s="77"/>
      <c r="AV117" s="83" t="str">
        <f>HYPERLINK("https://pbs.twimg.com/media/FxA0co1aIAEqzZr.jpg")</f>
        <v>https://pbs.twimg.com/media/FxA0co1aIAEqzZr.jpg</v>
      </c>
      <c r="AW117" s="81" t="s">
        <v>1053</v>
      </c>
      <c r="AX117" s="81" t="s">
        <v>1132</v>
      </c>
      <c r="AY117" s="81" t="s">
        <v>1195</v>
      </c>
      <c r="AZ117" s="81" t="s">
        <v>1132</v>
      </c>
      <c r="BA117" s="81" t="s">
        <v>1210</v>
      </c>
      <c r="BB117" s="81" t="s">
        <v>1210</v>
      </c>
      <c r="BC117" s="81" t="s">
        <v>1132</v>
      </c>
      <c r="BD117" s="81" t="s">
        <v>1278</v>
      </c>
      <c r="BE117" s="77"/>
      <c r="BF117" s="77"/>
      <c r="BG117" s="77"/>
      <c r="BH117" s="77"/>
      <c r="BI117" s="77"/>
      <c r="BJ117">
        <v>1</v>
      </c>
      <c r="BK117" s="76" t="str">
        <f>REPLACE(INDEX(GroupVertices[Group],MATCH("~"&amp;Edges27[[#This Row],[Vertex 1]],GroupVertices[Vertex],0)),1,1,"")</f>
        <v>32</v>
      </c>
      <c r="BL117" s="76" t="str">
        <f>REPLACE(INDEX(GroupVertices[Group],MATCH("~"&amp;Edges27[[#This Row],[Vertex 2]],GroupVertices[Vertex],0)),1,1,"")</f>
        <v>32</v>
      </c>
      <c r="BM117" s="45">
        <v>1</v>
      </c>
      <c r="BN117" s="46">
        <v>5</v>
      </c>
      <c r="BO117" s="45">
        <v>3</v>
      </c>
      <c r="BP117" s="46">
        <v>15</v>
      </c>
      <c r="BQ117" s="45">
        <v>0</v>
      </c>
      <c r="BR117" s="46">
        <v>0</v>
      </c>
      <c r="BS117" s="45">
        <v>5</v>
      </c>
      <c r="BT117" s="46">
        <v>25</v>
      </c>
      <c r="BU117" s="45">
        <v>20</v>
      </c>
    </row>
    <row r="118" spans="1:73" ht="15">
      <c r="A118" s="61" t="s">
        <v>319</v>
      </c>
      <c r="B118" s="61" t="s">
        <v>419</v>
      </c>
      <c r="C118" s="62"/>
      <c r="D118" s="63"/>
      <c r="E118" s="64"/>
      <c r="F118" s="65"/>
      <c r="G118" s="62"/>
      <c r="H118" s="66"/>
      <c r="I118" s="67"/>
      <c r="J118" s="67"/>
      <c r="K118" s="31" t="s">
        <v>65</v>
      </c>
      <c r="L118" s="75">
        <v>155</v>
      </c>
      <c r="M118" s="75"/>
      <c r="N118" s="69"/>
      <c r="O118" s="77" t="s">
        <v>437</v>
      </c>
      <c r="P118" s="79">
        <v>44963.61640046296</v>
      </c>
      <c r="Q118" s="77" t="s">
        <v>555</v>
      </c>
      <c r="R118" s="77">
        <v>0</v>
      </c>
      <c r="S118" s="77">
        <v>0</v>
      </c>
      <c r="T118" s="77">
        <v>0</v>
      </c>
      <c r="U118" s="77">
        <v>0</v>
      </c>
      <c r="V118" s="77">
        <v>5</v>
      </c>
      <c r="W118" s="77"/>
      <c r="X118" s="77"/>
      <c r="Y118" s="77"/>
      <c r="Z118" s="77" t="s">
        <v>643</v>
      </c>
      <c r="AA118" s="77"/>
      <c r="AB118" s="77"/>
      <c r="AC118" s="81" t="s">
        <v>677</v>
      </c>
      <c r="AD118" s="77" t="s">
        <v>686</v>
      </c>
      <c r="AE118" s="83" t="str">
        <f>HYPERLINK("https://twitter.com/hardlee73/status/1622607952782954497")</f>
        <v>https://twitter.com/hardlee73/status/1622607952782954497</v>
      </c>
      <c r="AF118" s="79">
        <v>44963.61640046296</v>
      </c>
      <c r="AG118" s="85">
        <v>44963</v>
      </c>
      <c r="AH118" s="81" t="s">
        <v>800</v>
      </c>
      <c r="AI118" s="77"/>
      <c r="AJ118" s="77" t="s">
        <v>828</v>
      </c>
      <c r="AK118" s="77" t="s">
        <v>849</v>
      </c>
      <c r="AL118" s="77" t="s">
        <v>850</v>
      </c>
      <c r="AM118" s="77" t="s">
        <v>852</v>
      </c>
      <c r="AN118" s="77" t="s">
        <v>874</v>
      </c>
      <c r="AO118" s="77" t="s">
        <v>896</v>
      </c>
      <c r="AP118" s="77" t="s">
        <v>917</v>
      </c>
      <c r="AQ118" s="77"/>
      <c r="AR118" s="77"/>
      <c r="AS118" s="77"/>
      <c r="AT118" s="77"/>
      <c r="AU118" s="77"/>
      <c r="AV118" s="83" t="str">
        <f>HYPERLINK("https://pbs.twimg.com/profile_images/1659705770706083841/rThMHHyx_normal.jpg")</f>
        <v>https://pbs.twimg.com/profile_images/1659705770706083841/rThMHHyx_normal.jpg</v>
      </c>
      <c r="AW118" s="81" t="s">
        <v>1054</v>
      </c>
      <c r="AX118" s="81" t="s">
        <v>1133</v>
      </c>
      <c r="AY118" s="81" t="s">
        <v>1196</v>
      </c>
      <c r="AZ118" s="81" t="s">
        <v>1231</v>
      </c>
      <c r="BA118" s="81" t="s">
        <v>1210</v>
      </c>
      <c r="BB118" s="81" t="s">
        <v>1210</v>
      </c>
      <c r="BC118" s="81" t="s">
        <v>1231</v>
      </c>
      <c r="BD118" s="81" t="s">
        <v>1279</v>
      </c>
      <c r="BE118" s="77"/>
      <c r="BF118" s="77"/>
      <c r="BG118" s="77"/>
      <c r="BH118" s="77"/>
      <c r="BI118" s="77"/>
      <c r="BJ118">
        <v>1</v>
      </c>
      <c r="BK118" s="76" t="str">
        <f>REPLACE(INDEX(GroupVertices[Group],MATCH("~"&amp;Edges27[[#This Row],[Vertex 1]],GroupVertices[Vertex],0)),1,1,"")</f>
        <v>3</v>
      </c>
      <c r="BL118" s="76" t="str">
        <f>REPLACE(INDEX(GroupVertices[Group],MATCH("~"&amp;Edges27[[#This Row],[Vertex 2]],GroupVertices[Vertex],0)),1,1,"")</f>
        <v>3</v>
      </c>
      <c r="BM118" s="45"/>
      <c r="BN118" s="46"/>
      <c r="BO118" s="45"/>
      <c r="BP118" s="46"/>
      <c r="BQ118" s="45"/>
      <c r="BR118" s="46"/>
      <c r="BS118" s="45"/>
      <c r="BT118" s="46"/>
      <c r="BU118" s="45"/>
    </row>
    <row r="119" spans="1:73" ht="15">
      <c r="A119" s="61" t="s">
        <v>319</v>
      </c>
      <c r="B119" s="61" t="s">
        <v>421</v>
      </c>
      <c r="C119" s="62"/>
      <c r="D119" s="63"/>
      <c r="E119" s="64"/>
      <c r="F119" s="65"/>
      <c r="G119" s="62"/>
      <c r="H119" s="66"/>
      <c r="I119" s="67"/>
      <c r="J119" s="67"/>
      <c r="K119" s="31" t="s">
        <v>65</v>
      </c>
      <c r="L119" s="75">
        <v>159</v>
      </c>
      <c r="M119" s="75"/>
      <c r="N119" s="69"/>
      <c r="O119" s="77" t="s">
        <v>437</v>
      </c>
      <c r="P119" s="79">
        <v>45244.44966435185</v>
      </c>
      <c r="Q119" s="77" t="s">
        <v>556</v>
      </c>
      <c r="R119" s="77">
        <v>0</v>
      </c>
      <c r="S119" s="77">
        <v>2</v>
      </c>
      <c r="T119" s="77">
        <v>0</v>
      </c>
      <c r="U119" s="77">
        <v>0</v>
      </c>
      <c r="V119" s="77">
        <v>43</v>
      </c>
      <c r="W119" s="77"/>
      <c r="X119" s="77"/>
      <c r="Y119" s="77"/>
      <c r="Z119" s="77" t="s">
        <v>644</v>
      </c>
      <c r="AA119" s="77" t="s">
        <v>664</v>
      </c>
      <c r="AB119" s="77" t="s">
        <v>671</v>
      </c>
      <c r="AC119" s="81" t="s">
        <v>677</v>
      </c>
      <c r="AD119" s="77" t="s">
        <v>686</v>
      </c>
      <c r="AE119" s="83" t="str">
        <f>HYPERLINK("https://twitter.com/hardlee73/status/1724378522633068940")</f>
        <v>https://twitter.com/hardlee73/status/1724378522633068940</v>
      </c>
      <c r="AF119" s="79">
        <v>45244.44966435185</v>
      </c>
      <c r="AG119" s="85">
        <v>45244</v>
      </c>
      <c r="AH119" s="81" t="s">
        <v>801</v>
      </c>
      <c r="AI119" s="77" t="b">
        <v>0</v>
      </c>
      <c r="AJ119" s="77" t="s">
        <v>828</v>
      </c>
      <c r="AK119" s="77" t="s">
        <v>849</v>
      </c>
      <c r="AL119" s="77" t="s">
        <v>850</v>
      </c>
      <c r="AM119" s="77" t="s">
        <v>852</v>
      </c>
      <c r="AN119" s="77" t="s">
        <v>874</v>
      </c>
      <c r="AO119" s="77" t="s">
        <v>896</v>
      </c>
      <c r="AP119" s="77" t="s">
        <v>917</v>
      </c>
      <c r="AQ119" s="77" t="s">
        <v>935</v>
      </c>
      <c r="AR119" s="77"/>
      <c r="AS119" s="77"/>
      <c r="AT119" s="77"/>
      <c r="AU119" s="77"/>
      <c r="AV119" s="83" t="str">
        <f>HYPERLINK("https://pbs.twimg.com/media/F-45IQdagAAFhSA.jpg")</f>
        <v>https://pbs.twimg.com/media/F-45IQdagAAFhSA.jpg</v>
      </c>
      <c r="AW119" s="81" t="s">
        <v>1055</v>
      </c>
      <c r="AX119" s="81" t="s">
        <v>1134</v>
      </c>
      <c r="AY119" s="81" t="s">
        <v>1197</v>
      </c>
      <c r="AZ119" s="81" t="s">
        <v>1134</v>
      </c>
      <c r="BA119" s="81" t="s">
        <v>1210</v>
      </c>
      <c r="BB119" s="81" t="s">
        <v>1210</v>
      </c>
      <c r="BC119" s="81" t="s">
        <v>1134</v>
      </c>
      <c r="BD119" s="81" t="s">
        <v>1279</v>
      </c>
      <c r="BE119" s="77"/>
      <c r="BF119" s="77"/>
      <c r="BG119" s="77"/>
      <c r="BH119" s="77"/>
      <c r="BI119" s="77"/>
      <c r="BJ119">
        <v>1</v>
      </c>
      <c r="BK119" s="76" t="str">
        <f>REPLACE(INDEX(GroupVertices[Group],MATCH("~"&amp;Edges27[[#This Row],[Vertex 1]],GroupVertices[Vertex],0)),1,1,"")</f>
        <v>3</v>
      </c>
      <c r="BL119" s="76" t="str">
        <f>REPLACE(INDEX(GroupVertices[Group],MATCH("~"&amp;Edges27[[#This Row],[Vertex 2]],GroupVertices[Vertex],0)),1,1,"")</f>
        <v>3</v>
      </c>
      <c r="BM119" s="45"/>
      <c r="BN119" s="46"/>
      <c r="BO119" s="45"/>
      <c r="BP119" s="46"/>
      <c r="BQ119" s="45"/>
      <c r="BR119" s="46"/>
      <c r="BS119" s="45"/>
      <c r="BT119" s="46"/>
      <c r="BU119" s="45"/>
    </row>
    <row r="120" spans="1:73" ht="15">
      <c r="A120" s="61" t="s">
        <v>319</v>
      </c>
      <c r="B120" s="61" t="s">
        <v>423</v>
      </c>
      <c r="C120" s="62"/>
      <c r="D120" s="63"/>
      <c r="E120" s="64"/>
      <c r="F120" s="65"/>
      <c r="G120" s="62"/>
      <c r="H120" s="66"/>
      <c r="I120" s="67"/>
      <c r="J120" s="67"/>
      <c r="K120" s="31" t="s">
        <v>65</v>
      </c>
      <c r="L120" s="75">
        <v>161</v>
      </c>
      <c r="M120" s="75"/>
      <c r="N120" s="69"/>
      <c r="O120" s="77" t="s">
        <v>437</v>
      </c>
      <c r="P120" s="79">
        <v>44996.13384259259</v>
      </c>
      <c r="Q120" s="77" t="s">
        <v>557</v>
      </c>
      <c r="R120" s="77">
        <v>0</v>
      </c>
      <c r="S120" s="77">
        <v>0</v>
      </c>
      <c r="T120" s="77">
        <v>0</v>
      </c>
      <c r="U120" s="77">
        <v>0</v>
      </c>
      <c r="V120" s="77">
        <v>26</v>
      </c>
      <c r="W120" s="77"/>
      <c r="X120" s="77"/>
      <c r="Y120" s="77"/>
      <c r="Z120" s="77" t="s">
        <v>645</v>
      </c>
      <c r="AA120" s="77" t="s">
        <v>665</v>
      </c>
      <c r="AB120" s="77" t="s">
        <v>673</v>
      </c>
      <c r="AC120" s="81" t="s">
        <v>677</v>
      </c>
      <c r="AD120" s="77" t="s">
        <v>686</v>
      </c>
      <c r="AE120" s="83" t="str">
        <f>HYPERLINK("https://twitter.com/hardlee73/status/1634391878882963457")</f>
        <v>https://twitter.com/hardlee73/status/1634391878882963457</v>
      </c>
      <c r="AF120" s="79">
        <v>44996.13384259259</v>
      </c>
      <c r="AG120" s="85">
        <v>44996</v>
      </c>
      <c r="AH120" s="81" t="s">
        <v>802</v>
      </c>
      <c r="AI120" s="77" t="b">
        <v>0</v>
      </c>
      <c r="AJ120" s="77" t="s">
        <v>828</v>
      </c>
      <c r="AK120" s="77" t="s">
        <v>849</v>
      </c>
      <c r="AL120" s="77" t="s">
        <v>850</v>
      </c>
      <c r="AM120" s="77" t="s">
        <v>852</v>
      </c>
      <c r="AN120" s="77" t="s">
        <v>874</v>
      </c>
      <c r="AO120" s="77" t="s">
        <v>896</v>
      </c>
      <c r="AP120" s="77" t="s">
        <v>917</v>
      </c>
      <c r="AQ120" s="77" t="s">
        <v>936</v>
      </c>
      <c r="AR120" s="77"/>
      <c r="AS120" s="77"/>
      <c r="AT120" s="77"/>
      <c r="AU120" s="77"/>
      <c r="AV120" s="83" t="str">
        <f>HYPERLINK("https://pbs.twimg.com/tweet_video_thumb/Fq6GvJhakAAm4r2.jpg")</f>
        <v>https://pbs.twimg.com/tweet_video_thumb/Fq6GvJhakAAm4r2.jpg</v>
      </c>
      <c r="AW120" s="81" t="s">
        <v>1056</v>
      </c>
      <c r="AX120" s="81" t="s">
        <v>1135</v>
      </c>
      <c r="AY120" s="81" t="s">
        <v>1198</v>
      </c>
      <c r="AZ120" s="81" t="s">
        <v>1135</v>
      </c>
      <c r="BA120" s="81" t="s">
        <v>1210</v>
      </c>
      <c r="BB120" s="81" t="s">
        <v>1210</v>
      </c>
      <c r="BC120" s="81" t="s">
        <v>1135</v>
      </c>
      <c r="BD120" s="81" t="s">
        <v>1279</v>
      </c>
      <c r="BE120" s="77"/>
      <c r="BF120" s="77"/>
      <c r="BG120" s="77"/>
      <c r="BH120" s="77"/>
      <c r="BI120" s="77"/>
      <c r="BJ120">
        <v>1</v>
      </c>
      <c r="BK120" s="76" t="str">
        <f>REPLACE(INDEX(GroupVertices[Group],MATCH("~"&amp;Edges27[[#This Row],[Vertex 1]],GroupVertices[Vertex],0)),1,1,"")</f>
        <v>3</v>
      </c>
      <c r="BL120" s="76" t="str">
        <f>REPLACE(INDEX(GroupVertices[Group],MATCH("~"&amp;Edges27[[#This Row],[Vertex 2]],GroupVertices[Vertex],0)),1,1,"")</f>
        <v>3</v>
      </c>
      <c r="BM120" s="45"/>
      <c r="BN120" s="46"/>
      <c r="BO120" s="45"/>
      <c r="BP120" s="46"/>
      <c r="BQ120" s="45"/>
      <c r="BR120" s="46"/>
      <c r="BS120" s="45"/>
      <c r="BT120" s="46"/>
      <c r="BU120" s="45"/>
    </row>
    <row r="121" spans="1:73" ht="15">
      <c r="A121" s="61" t="s">
        <v>319</v>
      </c>
      <c r="B121" s="61" t="s">
        <v>426</v>
      </c>
      <c r="C121" s="62"/>
      <c r="D121" s="63"/>
      <c r="E121" s="64"/>
      <c r="F121" s="65"/>
      <c r="G121" s="62"/>
      <c r="H121" s="66"/>
      <c r="I121" s="67"/>
      <c r="J121" s="67"/>
      <c r="K121" s="31" t="s">
        <v>65</v>
      </c>
      <c r="L121" s="75">
        <v>164</v>
      </c>
      <c r="M121" s="75"/>
      <c r="N121" s="69"/>
      <c r="O121" s="77" t="s">
        <v>438</v>
      </c>
      <c r="P121" s="79">
        <v>45277.06253472222</v>
      </c>
      <c r="Q121" s="77" t="s">
        <v>558</v>
      </c>
      <c r="R121" s="77">
        <v>0</v>
      </c>
      <c r="S121" s="77">
        <v>1</v>
      </c>
      <c r="T121" s="77">
        <v>0</v>
      </c>
      <c r="U121" s="77">
        <v>0</v>
      </c>
      <c r="V121" s="77">
        <v>148</v>
      </c>
      <c r="W121" s="77"/>
      <c r="X121" s="77"/>
      <c r="Y121" s="77"/>
      <c r="Z121" s="77" t="s">
        <v>426</v>
      </c>
      <c r="AA121" s="77" t="s">
        <v>666</v>
      </c>
      <c r="AB121" s="77" t="s">
        <v>669</v>
      </c>
      <c r="AC121" s="81" t="s">
        <v>677</v>
      </c>
      <c r="AD121" s="77" t="s">
        <v>686</v>
      </c>
      <c r="AE121" s="83" t="str">
        <f>HYPERLINK("https://twitter.com/hardlee73/status/1736197030660448260")</f>
        <v>https://twitter.com/hardlee73/status/1736197030660448260</v>
      </c>
      <c r="AF121" s="79">
        <v>45277.06253472222</v>
      </c>
      <c r="AG121" s="85">
        <v>45277</v>
      </c>
      <c r="AH121" s="81" t="s">
        <v>803</v>
      </c>
      <c r="AI121" s="77" t="b">
        <v>0</v>
      </c>
      <c r="AJ121" s="77" t="s">
        <v>828</v>
      </c>
      <c r="AK121" s="77" t="s">
        <v>849</v>
      </c>
      <c r="AL121" s="77" t="s">
        <v>850</v>
      </c>
      <c r="AM121" s="77" t="s">
        <v>852</v>
      </c>
      <c r="AN121" s="77" t="s">
        <v>874</v>
      </c>
      <c r="AO121" s="77" t="s">
        <v>896</v>
      </c>
      <c r="AP121" s="77" t="s">
        <v>917</v>
      </c>
      <c r="AQ121" s="77" t="s">
        <v>937</v>
      </c>
      <c r="AR121" s="77"/>
      <c r="AS121" s="77"/>
      <c r="AT121" s="77"/>
      <c r="AU121" s="77"/>
      <c r="AV121" s="83" t="str">
        <f>HYPERLINK("https://pbs.twimg.com/media/GBg1_yVboAAcHVZ.jpg")</f>
        <v>https://pbs.twimg.com/media/GBg1_yVboAAcHVZ.jpg</v>
      </c>
      <c r="AW121" s="81" t="s">
        <v>1057</v>
      </c>
      <c r="AX121" s="81" t="s">
        <v>1136</v>
      </c>
      <c r="AY121" s="81" t="s">
        <v>1199</v>
      </c>
      <c r="AZ121" s="81" t="s">
        <v>1136</v>
      </c>
      <c r="BA121" s="81" t="s">
        <v>1210</v>
      </c>
      <c r="BB121" s="81" t="s">
        <v>1210</v>
      </c>
      <c r="BC121" s="81" t="s">
        <v>1136</v>
      </c>
      <c r="BD121" s="81" t="s">
        <v>1279</v>
      </c>
      <c r="BE121" s="77"/>
      <c r="BF121" s="77"/>
      <c r="BG121" s="77"/>
      <c r="BH121" s="77"/>
      <c r="BI121" s="77"/>
      <c r="BJ121">
        <v>1</v>
      </c>
      <c r="BK121" s="76" t="str">
        <f>REPLACE(INDEX(GroupVertices[Group],MATCH("~"&amp;Edges27[[#This Row],[Vertex 1]],GroupVertices[Vertex],0)),1,1,"")</f>
        <v>3</v>
      </c>
      <c r="BL121" s="76" t="str">
        <f>REPLACE(INDEX(GroupVertices[Group],MATCH("~"&amp;Edges27[[#This Row],[Vertex 2]],GroupVertices[Vertex],0)),1,1,"")</f>
        <v>3</v>
      </c>
      <c r="BM121" s="45">
        <v>0</v>
      </c>
      <c r="BN121" s="46">
        <v>0</v>
      </c>
      <c r="BO121" s="45">
        <v>1</v>
      </c>
      <c r="BP121" s="46">
        <v>5.555555555555555</v>
      </c>
      <c r="BQ121" s="45">
        <v>0</v>
      </c>
      <c r="BR121" s="46">
        <v>0</v>
      </c>
      <c r="BS121" s="45">
        <v>8</v>
      </c>
      <c r="BT121" s="46">
        <v>44.44444444444444</v>
      </c>
      <c r="BU121" s="45">
        <v>18</v>
      </c>
    </row>
    <row r="122" spans="1:73" ht="15">
      <c r="A122" s="61" t="s">
        <v>320</v>
      </c>
      <c r="B122" s="61" t="s">
        <v>320</v>
      </c>
      <c r="C122" s="62"/>
      <c r="D122" s="63"/>
      <c r="E122" s="64"/>
      <c r="F122" s="65"/>
      <c r="G122" s="62"/>
      <c r="H122" s="66"/>
      <c r="I122" s="67"/>
      <c r="J122" s="67"/>
      <c r="K122" s="31" t="s">
        <v>65</v>
      </c>
      <c r="L122" s="75">
        <v>165</v>
      </c>
      <c r="M122" s="75"/>
      <c r="N122" s="69"/>
      <c r="O122" s="77" t="s">
        <v>178</v>
      </c>
      <c r="P122" s="79">
        <v>45228.822800925926</v>
      </c>
      <c r="Q122" s="77" t="s">
        <v>559</v>
      </c>
      <c r="R122" s="77">
        <v>12</v>
      </c>
      <c r="S122" s="77">
        <v>109</v>
      </c>
      <c r="T122" s="77">
        <v>34</v>
      </c>
      <c r="U122" s="77">
        <v>5</v>
      </c>
      <c r="V122" s="77">
        <v>8943</v>
      </c>
      <c r="W122" s="77"/>
      <c r="X122" s="77"/>
      <c r="Y122" s="77"/>
      <c r="Z122" s="77"/>
      <c r="AA122" s="77"/>
      <c r="AB122" s="77"/>
      <c r="AC122" s="81" t="s">
        <v>675</v>
      </c>
      <c r="AD122" s="77" t="s">
        <v>686</v>
      </c>
      <c r="AE122" s="83" t="str">
        <f>HYPERLINK("https://twitter.com/joannanobanana/status/1718715534114517365")</f>
        <v>https://twitter.com/joannanobanana/status/1718715534114517365</v>
      </c>
      <c r="AF122" s="79">
        <v>45228.822800925926</v>
      </c>
      <c r="AG122" s="85">
        <v>45228</v>
      </c>
      <c r="AH122" s="81" t="s">
        <v>804</v>
      </c>
      <c r="AI122" s="77"/>
      <c r="AJ122" s="77"/>
      <c r="AK122" s="77"/>
      <c r="AL122" s="77"/>
      <c r="AM122" s="77"/>
      <c r="AN122" s="77"/>
      <c r="AO122" s="77"/>
      <c r="AP122" s="77"/>
      <c r="AQ122" s="77"/>
      <c r="AR122" s="77"/>
      <c r="AS122" s="77"/>
      <c r="AT122" s="77"/>
      <c r="AU122" s="77"/>
      <c r="AV122" s="83" t="str">
        <f>HYPERLINK("https://pbs.twimg.com/profile_images/1453942310173962254/JAQtfpiq_normal.jpg")</f>
        <v>https://pbs.twimg.com/profile_images/1453942310173962254/JAQtfpiq_normal.jpg</v>
      </c>
      <c r="AW122" s="81" t="s">
        <v>1058</v>
      </c>
      <c r="AX122" s="81" t="s">
        <v>1058</v>
      </c>
      <c r="AY122" s="77"/>
      <c r="AZ122" s="81" t="s">
        <v>1210</v>
      </c>
      <c r="BA122" s="81" t="s">
        <v>1210</v>
      </c>
      <c r="BB122" s="81" t="s">
        <v>1210</v>
      </c>
      <c r="BC122" s="81" t="s">
        <v>1058</v>
      </c>
      <c r="BD122" s="81" t="s">
        <v>1280</v>
      </c>
      <c r="BE122" s="77"/>
      <c r="BF122" s="77"/>
      <c r="BG122" s="77"/>
      <c r="BH122" s="77"/>
      <c r="BI122" s="77"/>
      <c r="BJ122">
        <v>1</v>
      </c>
      <c r="BK122" s="76" t="str">
        <f>REPLACE(INDEX(GroupVertices[Group],MATCH("~"&amp;Edges27[[#This Row],[Vertex 1]],GroupVertices[Vertex],0)),1,1,"")</f>
        <v>37</v>
      </c>
      <c r="BL122" s="76" t="str">
        <f>REPLACE(INDEX(GroupVertices[Group],MATCH("~"&amp;Edges27[[#This Row],[Vertex 2]],GroupVertices[Vertex],0)),1,1,"")</f>
        <v>37</v>
      </c>
      <c r="BM122" s="45">
        <v>0</v>
      </c>
      <c r="BN122" s="46">
        <v>0</v>
      </c>
      <c r="BO122" s="45">
        <v>2</v>
      </c>
      <c r="BP122" s="46">
        <v>10.526315789473685</v>
      </c>
      <c r="BQ122" s="45">
        <v>0</v>
      </c>
      <c r="BR122" s="46">
        <v>0</v>
      </c>
      <c r="BS122" s="45">
        <v>9</v>
      </c>
      <c r="BT122" s="46">
        <v>47.36842105263158</v>
      </c>
      <c r="BU122" s="45">
        <v>19</v>
      </c>
    </row>
    <row r="123" spans="1:73" ht="15">
      <c r="A123" s="61" t="s">
        <v>321</v>
      </c>
      <c r="B123" s="61" t="s">
        <v>328</v>
      </c>
      <c r="C123" s="62"/>
      <c r="D123" s="63"/>
      <c r="E123" s="64"/>
      <c r="F123" s="65"/>
      <c r="G123" s="62"/>
      <c r="H123" s="66"/>
      <c r="I123" s="67"/>
      <c r="J123" s="67"/>
      <c r="K123" s="31" t="s">
        <v>65</v>
      </c>
      <c r="L123" s="75">
        <v>166</v>
      </c>
      <c r="M123" s="75"/>
      <c r="N123" s="69"/>
      <c r="O123" s="77" t="s">
        <v>438</v>
      </c>
      <c r="P123" s="79">
        <v>45316.480532407404</v>
      </c>
      <c r="Q123" s="77" t="s">
        <v>560</v>
      </c>
      <c r="R123" s="77">
        <v>0</v>
      </c>
      <c r="S123" s="77">
        <v>0</v>
      </c>
      <c r="T123" s="77">
        <v>0</v>
      </c>
      <c r="U123" s="77">
        <v>0</v>
      </c>
      <c r="V123" s="77">
        <v>25</v>
      </c>
      <c r="W123" s="77"/>
      <c r="X123" s="77"/>
      <c r="Y123" s="77"/>
      <c r="Z123" s="77" t="s">
        <v>328</v>
      </c>
      <c r="AA123" s="77"/>
      <c r="AB123" s="77"/>
      <c r="AC123" s="81" t="s">
        <v>674</v>
      </c>
      <c r="AD123" s="77" t="s">
        <v>686</v>
      </c>
      <c r="AE123" s="83" t="str">
        <f>HYPERLINK("https://twitter.com/henspangled2020/status/1750481635651514547")</f>
        <v>https://twitter.com/henspangled2020/status/1750481635651514547</v>
      </c>
      <c r="AF123" s="79">
        <v>45316.480532407404</v>
      </c>
      <c r="AG123" s="85">
        <v>45316</v>
      </c>
      <c r="AH123" s="81" t="s">
        <v>805</v>
      </c>
      <c r="AI123" s="77"/>
      <c r="AJ123" s="77"/>
      <c r="AK123" s="77"/>
      <c r="AL123" s="77"/>
      <c r="AM123" s="77"/>
      <c r="AN123" s="77"/>
      <c r="AO123" s="77"/>
      <c r="AP123" s="77"/>
      <c r="AQ123" s="77"/>
      <c r="AR123" s="77"/>
      <c r="AS123" s="77"/>
      <c r="AT123" s="77"/>
      <c r="AU123" s="77"/>
      <c r="AV123" s="83" t="str">
        <f>HYPERLINK("https://pbs.twimg.com/profile_images/1751125657168527360/cqKh7Wfy_normal.jpg")</f>
        <v>https://pbs.twimg.com/profile_images/1751125657168527360/cqKh7Wfy_normal.jpg</v>
      </c>
      <c r="AW123" s="81" t="s">
        <v>1059</v>
      </c>
      <c r="AX123" s="81" t="s">
        <v>1137</v>
      </c>
      <c r="AY123" s="81" t="s">
        <v>1200</v>
      </c>
      <c r="AZ123" s="81" t="s">
        <v>1137</v>
      </c>
      <c r="BA123" s="81" t="s">
        <v>1210</v>
      </c>
      <c r="BB123" s="81" t="s">
        <v>1210</v>
      </c>
      <c r="BC123" s="81" t="s">
        <v>1137</v>
      </c>
      <c r="BD123" s="81" t="s">
        <v>1281</v>
      </c>
      <c r="BE123" s="77"/>
      <c r="BF123" s="77"/>
      <c r="BG123" s="77"/>
      <c r="BH123" s="77"/>
      <c r="BI123" s="77"/>
      <c r="BJ123">
        <v>1</v>
      </c>
      <c r="BK123" s="76" t="str">
        <f>REPLACE(INDEX(GroupVertices[Group],MATCH("~"&amp;Edges27[[#This Row],[Vertex 1]],GroupVertices[Vertex],0)),1,1,"")</f>
        <v>11</v>
      </c>
      <c r="BL123" s="76" t="str">
        <f>REPLACE(INDEX(GroupVertices[Group],MATCH("~"&amp;Edges27[[#This Row],[Vertex 2]],GroupVertices[Vertex],0)),1,1,"")</f>
        <v>11</v>
      </c>
      <c r="BM123" s="45">
        <v>1</v>
      </c>
      <c r="BN123" s="46">
        <v>3.3333333333333335</v>
      </c>
      <c r="BO123" s="45">
        <v>2</v>
      </c>
      <c r="BP123" s="46">
        <v>6.666666666666667</v>
      </c>
      <c r="BQ123" s="45">
        <v>0</v>
      </c>
      <c r="BR123" s="46">
        <v>0</v>
      </c>
      <c r="BS123" s="45">
        <v>9</v>
      </c>
      <c r="BT123" s="46">
        <v>30</v>
      </c>
      <c r="BU123" s="45">
        <v>30</v>
      </c>
    </row>
    <row r="124" spans="1:73" ht="15">
      <c r="A124" s="61" t="s">
        <v>322</v>
      </c>
      <c r="B124" s="61" t="s">
        <v>322</v>
      </c>
      <c r="C124" s="62"/>
      <c r="D124" s="63"/>
      <c r="E124" s="64"/>
      <c r="F124" s="65"/>
      <c r="G124" s="62"/>
      <c r="H124" s="66"/>
      <c r="I124" s="67"/>
      <c r="J124" s="67"/>
      <c r="K124" s="31" t="s">
        <v>65</v>
      </c>
      <c r="L124" s="75">
        <v>167</v>
      </c>
      <c r="M124" s="75"/>
      <c r="N124" s="69"/>
      <c r="O124" s="77" t="s">
        <v>178</v>
      </c>
      <c r="P124" s="79">
        <v>44967.928148148145</v>
      </c>
      <c r="Q124" s="77" t="s">
        <v>561</v>
      </c>
      <c r="R124" s="77">
        <v>12346</v>
      </c>
      <c r="S124" s="77">
        <v>40512</v>
      </c>
      <c r="T124" s="77">
        <v>272</v>
      </c>
      <c r="U124" s="77">
        <v>518</v>
      </c>
      <c r="V124" s="77">
        <v>2734652</v>
      </c>
      <c r="W124" s="77"/>
      <c r="X124" s="77"/>
      <c r="Y124" s="77"/>
      <c r="Z124" s="77"/>
      <c r="AA124" s="77" t="s">
        <v>667</v>
      </c>
      <c r="AB124" s="77" t="s">
        <v>672</v>
      </c>
      <c r="AC124" s="81" t="s">
        <v>674</v>
      </c>
      <c r="AD124" s="77" t="s">
        <v>686</v>
      </c>
      <c r="AE124" s="83" t="str">
        <f>HYPERLINK("https://twitter.com/goodvibepolitik/status/1624170480482541588")</f>
        <v>https://twitter.com/goodvibepolitik/status/1624170480482541588</v>
      </c>
      <c r="AF124" s="79">
        <v>44967.928148148145</v>
      </c>
      <c r="AG124" s="85">
        <v>44967</v>
      </c>
      <c r="AH124" s="81" t="s">
        <v>806</v>
      </c>
      <c r="AI124" s="77" t="b">
        <v>0</v>
      </c>
      <c r="AJ124" s="77"/>
      <c r="AK124" s="77"/>
      <c r="AL124" s="77"/>
      <c r="AM124" s="77"/>
      <c r="AN124" s="77"/>
      <c r="AO124" s="77"/>
      <c r="AP124" s="77"/>
      <c r="AQ124" s="77" t="s">
        <v>938</v>
      </c>
      <c r="AR124" s="77">
        <v>16757</v>
      </c>
      <c r="AS124" s="77"/>
      <c r="AT124" s="77"/>
      <c r="AU124" s="77"/>
      <c r="AV124" s="83" t="str">
        <f>HYPERLINK("https://pbs.twimg.com/ext_tw_video_thumb/1624170319727452188/pu/img/V749mrNUxlckNkI8.jpg")</f>
        <v>https://pbs.twimg.com/ext_tw_video_thumb/1624170319727452188/pu/img/V749mrNUxlckNkI8.jpg</v>
      </c>
      <c r="AW124" s="81" t="s">
        <v>1060</v>
      </c>
      <c r="AX124" s="81" t="s">
        <v>1060</v>
      </c>
      <c r="AY124" s="77"/>
      <c r="AZ124" s="81" t="s">
        <v>1210</v>
      </c>
      <c r="BA124" s="81" t="s">
        <v>1210</v>
      </c>
      <c r="BB124" s="81" t="s">
        <v>1210</v>
      </c>
      <c r="BC124" s="81" t="s">
        <v>1060</v>
      </c>
      <c r="BD124" s="77">
        <v>3240330844</v>
      </c>
      <c r="BE124" s="77"/>
      <c r="BF124" s="77"/>
      <c r="BG124" s="77"/>
      <c r="BH124" s="77"/>
      <c r="BI124" s="77"/>
      <c r="BJ124">
        <v>1</v>
      </c>
      <c r="BK124" s="76" t="str">
        <f>REPLACE(INDEX(GroupVertices[Group],MATCH("~"&amp;Edges27[[#This Row],[Vertex 1]],GroupVertices[Vertex],0)),1,1,"")</f>
        <v>31</v>
      </c>
      <c r="BL124" s="76" t="str">
        <f>REPLACE(INDEX(GroupVertices[Group],MATCH("~"&amp;Edges27[[#This Row],[Vertex 2]],GroupVertices[Vertex],0)),1,1,"")</f>
        <v>31</v>
      </c>
      <c r="BM124" s="45">
        <v>0</v>
      </c>
      <c r="BN124" s="46">
        <v>0</v>
      </c>
      <c r="BO124" s="45">
        <v>4</v>
      </c>
      <c r="BP124" s="46">
        <v>8.333333333333334</v>
      </c>
      <c r="BQ124" s="45">
        <v>0</v>
      </c>
      <c r="BR124" s="46">
        <v>0</v>
      </c>
      <c r="BS124" s="45">
        <v>24</v>
      </c>
      <c r="BT124" s="46">
        <v>50</v>
      </c>
      <c r="BU124" s="45">
        <v>48</v>
      </c>
    </row>
    <row r="125" spans="1:73" ht="15">
      <c r="A125" s="61" t="s">
        <v>323</v>
      </c>
      <c r="B125" s="61" t="s">
        <v>322</v>
      </c>
      <c r="C125" s="62"/>
      <c r="D125" s="63"/>
      <c r="E125" s="64"/>
      <c r="F125" s="65"/>
      <c r="G125" s="62"/>
      <c r="H125" s="66"/>
      <c r="I125" s="67"/>
      <c r="J125" s="67"/>
      <c r="K125" s="31" t="s">
        <v>65</v>
      </c>
      <c r="L125" s="75">
        <v>168</v>
      </c>
      <c r="M125" s="75"/>
      <c r="N125" s="69"/>
      <c r="O125" s="77" t="s">
        <v>439</v>
      </c>
      <c r="P125" s="79">
        <v>44968.968622685185</v>
      </c>
      <c r="Q125" s="77" t="s">
        <v>562</v>
      </c>
      <c r="R125" s="77">
        <v>0</v>
      </c>
      <c r="S125" s="77">
        <v>0</v>
      </c>
      <c r="T125" s="77">
        <v>0</v>
      </c>
      <c r="U125" s="77">
        <v>0</v>
      </c>
      <c r="V125" s="77">
        <v>22</v>
      </c>
      <c r="W125" s="77"/>
      <c r="X125" s="77"/>
      <c r="Y125" s="77"/>
      <c r="Z125" s="77"/>
      <c r="AA125" s="77"/>
      <c r="AB125" s="77"/>
      <c r="AC125" s="81" t="s">
        <v>674</v>
      </c>
      <c r="AD125" s="77" t="s">
        <v>686</v>
      </c>
      <c r="AE125" s="83" t="str">
        <f>HYPERLINK("https://twitter.com/susan35763565/status/1624547533694582784")</f>
        <v>https://twitter.com/susan35763565/status/1624547533694582784</v>
      </c>
      <c r="AF125" s="79">
        <v>44968.968622685185</v>
      </c>
      <c r="AG125" s="85">
        <v>44968</v>
      </c>
      <c r="AH125" s="81" t="s">
        <v>807</v>
      </c>
      <c r="AI125" s="77"/>
      <c r="AJ125" s="77" t="s">
        <v>845</v>
      </c>
      <c r="AK125" s="77" t="s">
        <v>849</v>
      </c>
      <c r="AL125" s="77" t="s">
        <v>850</v>
      </c>
      <c r="AM125" s="77" t="s">
        <v>869</v>
      </c>
      <c r="AN125" s="77" t="s">
        <v>891</v>
      </c>
      <c r="AO125" s="77" t="s">
        <v>913</v>
      </c>
      <c r="AP125" s="77" t="s">
        <v>917</v>
      </c>
      <c r="AQ125" s="77"/>
      <c r="AR125" s="77"/>
      <c r="AS125" s="77"/>
      <c r="AT125" s="77"/>
      <c r="AU125" s="77"/>
      <c r="AV125" s="83" t="str">
        <f>HYPERLINK("https://pbs.twimg.com/profile_images/1658947378169393152/HfXLBlTP_normal.jpg")</f>
        <v>https://pbs.twimg.com/profile_images/1658947378169393152/HfXLBlTP_normal.jpg</v>
      </c>
      <c r="AW125" s="81" t="s">
        <v>1061</v>
      </c>
      <c r="AX125" s="81" t="s">
        <v>1061</v>
      </c>
      <c r="AY125" s="77"/>
      <c r="AZ125" s="81" t="s">
        <v>1210</v>
      </c>
      <c r="BA125" s="81" t="s">
        <v>1060</v>
      </c>
      <c r="BB125" s="81" t="s">
        <v>1210</v>
      </c>
      <c r="BC125" s="81" t="s">
        <v>1060</v>
      </c>
      <c r="BD125" s="81" t="s">
        <v>1282</v>
      </c>
      <c r="BE125" s="77"/>
      <c r="BF125" s="77"/>
      <c r="BG125" s="77"/>
      <c r="BH125" s="77"/>
      <c r="BI125" s="77"/>
      <c r="BJ125">
        <v>1</v>
      </c>
      <c r="BK125" s="76" t="str">
        <f>REPLACE(INDEX(GroupVertices[Group],MATCH("~"&amp;Edges27[[#This Row],[Vertex 1]],GroupVertices[Vertex],0)),1,1,"")</f>
        <v>31</v>
      </c>
      <c r="BL125" s="76" t="str">
        <f>REPLACE(INDEX(GroupVertices[Group],MATCH("~"&amp;Edges27[[#This Row],[Vertex 2]],GroupVertices[Vertex],0)),1,1,"")</f>
        <v>31</v>
      </c>
      <c r="BM125" s="45">
        <v>0</v>
      </c>
      <c r="BN125" s="46">
        <v>0</v>
      </c>
      <c r="BO125" s="45">
        <v>5</v>
      </c>
      <c r="BP125" s="46">
        <v>19.23076923076923</v>
      </c>
      <c r="BQ125" s="45">
        <v>0</v>
      </c>
      <c r="BR125" s="46">
        <v>0</v>
      </c>
      <c r="BS125" s="45">
        <v>8</v>
      </c>
      <c r="BT125" s="46">
        <v>30.76923076923077</v>
      </c>
      <c r="BU125" s="45">
        <v>26</v>
      </c>
    </row>
    <row r="126" spans="1:73" ht="15">
      <c r="A126" s="61" t="s">
        <v>324</v>
      </c>
      <c r="B126" s="61" t="s">
        <v>427</v>
      </c>
      <c r="C126" s="62"/>
      <c r="D126" s="63"/>
      <c r="E126" s="64"/>
      <c r="F126" s="65"/>
      <c r="G126" s="62"/>
      <c r="H126" s="66"/>
      <c r="I126" s="67"/>
      <c r="J126" s="67"/>
      <c r="K126" s="31" t="s">
        <v>65</v>
      </c>
      <c r="L126" s="75">
        <v>169</v>
      </c>
      <c r="M126" s="75"/>
      <c r="N126" s="69"/>
      <c r="O126" s="77" t="s">
        <v>438</v>
      </c>
      <c r="P126" s="79">
        <v>45319.264398148145</v>
      </c>
      <c r="Q126" s="77" t="s">
        <v>563</v>
      </c>
      <c r="R126" s="77">
        <v>0</v>
      </c>
      <c r="S126" s="77">
        <v>4</v>
      </c>
      <c r="T126" s="77">
        <v>0</v>
      </c>
      <c r="U126" s="77">
        <v>0</v>
      </c>
      <c r="V126" s="77">
        <v>21</v>
      </c>
      <c r="W126" s="77"/>
      <c r="X126" s="77"/>
      <c r="Y126" s="77"/>
      <c r="Z126" s="77" t="s">
        <v>427</v>
      </c>
      <c r="AA126" s="77"/>
      <c r="AB126" s="77"/>
      <c r="AC126" s="81" t="s">
        <v>678</v>
      </c>
      <c r="AD126" s="77" t="s">
        <v>686</v>
      </c>
      <c r="AE126" s="83" t="str">
        <f>HYPERLINK("https://twitter.com/lindas_here/status/1751490470927368410")</f>
        <v>https://twitter.com/lindas_here/status/1751490470927368410</v>
      </c>
      <c r="AF126" s="79">
        <v>45319.264398148145</v>
      </c>
      <c r="AG126" s="85">
        <v>45319</v>
      </c>
      <c r="AH126" s="81" t="s">
        <v>808</v>
      </c>
      <c r="AI126" s="77"/>
      <c r="AJ126" s="77"/>
      <c r="AK126" s="77"/>
      <c r="AL126" s="77"/>
      <c r="AM126" s="77"/>
      <c r="AN126" s="77"/>
      <c r="AO126" s="77"/>
      <c r="AP126" s="77"/>
      <c r="AQ126" s="77"/>
      <c r="AR126" s="77"/>
      <c r="AS126" s="77"/>
      <c r="AT126" s="77"/>
      <c r="AU126" s="77"/>
      <c r="AV126" s="83" t="str">
        <f>HYPERLINK("https://pbs.twimg.com/profile_images/1746917310584303616/xswFVmds_normal.jpg")</f>
        <v>https://pbs.twimg.com/profile_images/1746917310584303616/xswFVmds_normal.jpg</v>
      </c>
      <c r="AW126" s="81" t="s">
        <v>1062</v>
      </c>
      <c r="AX126" s="81" t="s">
        <v>1138</v>
      </c>
      <c r="AY126" s="81" t="s">
        <v>1201</v>
      </c>
      <c r="AZ126" s="81" t="s">
        <v>1232</v>
      </c>
      <c r="BA126" s="81" t="s">
        <v>1210</v>
      </c>
      <c r="BB126" s="81" t="s">
        <v>1210</v>
      </c>
      <c r="BC126" s="81" t="s">
        <v>1232</v>
      </c>
      <c r="BD126" s="77">
        <v>174242226</v>
      </c>
      <c r="BE126" s="77"/>
      <c r="BF126" s="77"/>
      <c r="BG126" s="77"/>
      <c r="BH126" s="77"/>
      <c r="BI126" s="77"/>
      <c r="BJ126">
        <v>1</v>
      </c>
      <c r="BK126" s="76" t="str">
        <f>REPLACE(INDEX(GroupVertices[Group],MATCH("~"&amp;Edges27[[#This Row],[Vertex 1]],GroupVertices[Vertex],0)),1,1,"")</f>
        <v>30</v>
      </c>
      <c r="BL126" s="76" t="str">
        <f>REPLACE(INDEX(GroupVertices[Group],MATCH("~"&amp;Edges27[[#This Row],[Vertex 2]],GroupVertices[Vertex],0)),1,1,"")</f>
        <v>30</v>
      </c>
      <c r="BM126" s="45">
        <v>0</v>
      </c>
      <c r="BN126" s="46">
        <v>0</v>
      </c>
      <c r="BO126" s="45">
        <v>6</v>
      </c>
      <c r="BP126" s="46">
        <v>11.11111111111111</v>
      </c>
      <c r="BQ126" s="45">
        <v>0</v>
      </c>
      <c r="BR126" s="46">
        <v>0</v>
      </c>
      <c r="BS126" s="45">
        <v>17</v>
      </c>
      <c r="BT126" s="46">
        <v>31.48148148148148</v>
      </c>
      <c r="BU126" s="45">
        <v>54</v>
      </c>
    </row>
    <row r="127" spans="1:73" ht="15">
      <c r="A127" s="61" t="s">
        <v>325</v>
      </c>
      <c r="B127" s="61" t="s">
        <v>428</v>
      </c>
      <c r="C127" s="62"/>
      <c r="D127" s="63"/>
      <c r="E127" s="64"/>
      <c r="F127" s="65"/>
      <c r="G127" s="62"/>
      <c r="H127" s="66"/>
      <c r="I127" s="67"/>
      <c r="J127" s="67"/>
      <c r="K127" s="31" t="s">
        <v>65</v>
      </c>
      <c r="L127" s="75">
        <v>170</v>
      </c>
      <c r="M127" s="75"/>
      <c r="N127" s="69"/>
      <c r="O127" s="77" t="s">
        <v>438</v>
      </c>
      <c r="P127" s="79">
        <v>45315.56587962963</v>
      </c>
      <c r="Q127" s="77" t="s">
        <v>564</v>
      </c>
      <c r="R127" s="77">
        <v>0</v>
      </c>
      <c r="S127" s="77">
        <v>2</v>
      </c>
      <c r="T127" s="77">
        <v>1</v>
      </c>
      <c r="U127" s="77">
        <v>0</v>
      </c>
      <c r="V127" s="77">
        <v>69</v>
      </c>
      <c r="W127" s="77"/>
      <c r="X127" s="77"/>
      <c r="Y127" s="77"/>
      <c r="Z127" s="77" t="s">
        <v>428</v>
      </c>
      <c r="AA127" s="77"/>
      <c r="AB127" s="77"/>
      <c r="AC127" s="81" t="s">
        <v>675</v>
      </c>
      <c r="AD127" s="77" t="s">
        <v>686</v>
      </c>
      <c r="AE127" s="83" t="str">
        <f>HYPERLINK("https://twitter.com/therealfarley/status/1750150176587809254")</f>
        <v>https://twitter.com/therealfarley/status/1750150176587809254</v>
      </c>
      <c r="AF127" s="79">
        <v>45315.56587962963</v>
      </c>
      <c r="AG127" s="85">
        <v>45315</v>
      </c>
      <c r="AH127" s="81" t="s">
        <v>809</v>
      </c>
      <c r="AI127" s="77"/>
      <c r="AJ127" s="77"/>
      <c r="AK127" s="77"/>
      <c r="AL127" s="77"/>
      <c r="AM127" s="77"/>
      <c r="AN127" s="77"/>
      <c r="AO127" s="77"/>
      <c r="AP127" s="77"/>
      <c r="AQ127" s="77"/>
      <c r="AR127" s="77"/>
      <c r="AS127" s="77"/>
      <c r="AT127" s="77"/>
      <c r="AU127" s="77"/>
      <c r="AV127" s="83" t="str">
        <f>HYPERLINK("https://pbs.twimg.com/profile_images/1706596490054152192/jHFB9TjD_normal.jpg")</f>
        <v>https://pbs.twimg.com/profile_images/1706596490054152192/jHFB9TjD_normal.jpg</v>
      </c>
      <c r="AW127" s="81" t="s">
        <v>1063</v>
      </c>
      <c r="AX127" s="81" t="s">
        <v>1139</v>
      </c>
      <c r="AY127" s="81" t="s">
        <v>1202</v>
      </c>
      <c r="AZ127" s="81" t="s">
        <v>1139</v>
      </c>
      <c r="BA127" s="81" t="s">
        <v>1210</v>
      </c>
      <c r="BB127" s="81" t="s">
        <v>1210</v>
      </c>
      <c r="BC127" s="81" t="s">
        <v>1139</v>
      </c>
      <c r="BD127" s="81" t="s">
        <v>1283</v>
      </c>
      <c r="BE127" s="77"/>
      <c r="BF127" s="77"/>
      <c r="BG127" s="77"/>
      <c r="BH127" s="77"/>
      <c r="BI127" s="77"/>
      <c r="BJ127">
        <v>1</v>
      </c>
      <c r="BK127" s="76" t="str">
        <f>REPLACE(INDEX(GroupVertices[Group],MATCH("~"&amp;Edges27[[#This Row],[Vertex 1]],GroupVertices[Vertex],0)),1,1,"")</f>
        <v>29</v>
      </c>
      <c r="BL127" s="76" t="str">
        <f>REPLACE(INDEX(GroupVertices[Group],MATCH("~"&amp;Edges27[[#This Row],[Vertex 2]],GroupVertices[Vertex],0)),1,1,"")</f>
        <v>29</v>
      </c>
      <c r="BM127" s="45">
        <v>2</v>
      </c>
      <c r="BN127" s="46">
        <v>3.5714285714285716</v>
      </c>
      <c r="BO127" s="45">
        <v>1</v>
      </c>
      <c r="BP127" s="46">
        <v>1.7857142857142858</v>
      </c>
      <c r="BQ127" s="45">
        <v>0</v>
      </c>
      <c r="BR127" s="46">
        <v>0</v>
      </c>
      <c r="BS127" s="45">
        <v>23</v>
      </c>
      <c r="BT127" s="46">
        <v>41.07142857142857</v>
      </c>
      <c r="BU127" s="45">
        <v>56</v>
      </c>
    </row>
    <row r="128" spans="1:73" ht="15">
      <c r="A128" s="61" t="s">
        <v>326</v>
      </c>
      <c r="B128" s="61" t="s">
        <v>326</v>
      </c>
      <c r="C128" s="62"/>
      <c r="D128" s="63"/>
      <c r="E128" s="64"/>
      <c r="F128" s="65"/>
      <c r="G128" s="62"/>
      <c r="H128" s="66"/>
      <c r="I128" s="67"/>
      <c r="J128" s="67"/>
      <c r="K128" s="31" t="s">
        <v>65</v>
      </c>
      <c r="L128" s="75">
        <v>171</v>
      </c>
      <c r="M128" s="75"/>
      <c r="N128" s="69"/>
      <c r="O128" s="77" t="s">
        <v>178</v>
      </c>
      <c r="P128" s="79">
        <v>45318.833645833336</v>
      </c>
      <c r="Q128" s="77" t="s">
        <v>565</v>
      </c>
      <c r="R128" s="77">
        <v>0</v>
      </c>
      <c r="S128" s="77">
        <v>1</v>
      </c>
      <c r="T128" s="77">
        <v>0</v>
      </c>
      <c r="U128" s="77">
        <v>0</v>
      </c>
      <c r="V128" s="77">
        <v>515</v>
      </c>
      <c r="W128" s="77"/>
      <c r="X128" s="83"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128" s="77" t="s">
        <v>616</v>
      </c>
      <c r="Z128" s="77"/>
      <c r="AA128" s="77"/>
      <c r="AB128" s="77"/>
      <c r="AC128" s="81" t="s">
        <v>683</v>
      </c>
      <c r="AD128" s="77" t="s">
        <v>686</v>
      </c>
      <c r="AE128" s="83" t="str">
        <f>HYPERLINK("https://twitter.com/pdxbizjournal/status/1751334373213777966")</f>
        <v>https://twitter.com/pdxbizjournal/status/1751334373213777966</v>
      </c>
      <c r="AF128" s="79">
        <v>45318.833645833336</v>
      </c>
      <c r="AG128" s="85">
        <v>45318</v>
      </c>
      <c r="AH128" s="81" t="s">
        <v>810</v>
      </c>
      <c r="AI128" s="77" t="b">
        <v>0</v>
      </c>
      <c r="AJ128" s="77"/>
      <c r="AK128" s="77"/>
      <c r="AL128" s="77"/>
      <c r="AM128" s="77"/>
      <c r="AN128" s="77"/>
      <c r="AO128" s="77"/>
      <c r="AP128" s="77"/>
      <c r="AQ128" s="77"/>
      <c r="AR128" s="77"/>
      <c r="AS128" s="77"/>
      <c r="AT128" s="77"/>
      <c r="AU128" s="77"/>
      <c r="AV128" s="83" t="str">
        <f>HYPERLINK("https://pbs.twimg.com/profile_images/378800000261184161/9987150c21b663287165ee5df38f0e0c_normal.png")</f>
        <v>https://pbs.twimg.com/profile_images/378800000261184161/9987150c21b663287165ee5df38f0e0c_normal.png</v>
      </c>
      <c r="AW128" s="81" t="s">
        <v>1064</v>
      </c>
      <c r="AX128" s="81" t="s">
        <v>1064</v>
      </c>
      <c r="AY128" s="77"/>
      <c r="AZ128" s="81" t="s">
        <v>1210</v>
      </c>
      <c r="BA128" s="81" t="s">
        <v>1210</v>
      </c>
      <c r="BB128" s="81" t="s">
        <v>1210</v>
      </c>
      <c r="BC128" s="81" t="s">
        <v>1064</v>
      </c>
      <c r="BD128" s="77">
        <v>17135038</v>
      </c>
      <c r="BE128" s="77"/>
      <c r="BF128" s="77"/>
      <c r="BG128" s="77"/>
      <c r="BH128" s="77"/>
      <c r="BI128" s="77"/>
      <c r="BJ128">
        <v>3</v>
      </c>
      <c r="BK128" s="76" t="str">
        <f>REPLACE(INDEX(GroupVertices[Group],MATCH("~"&amp;Edges27[[#This Row],[Vertex 1]],GroupVertices[Vertex],0)),1,1,"")</f>
        <v>1</v>
      </c>
      <c r="BL128" s="76" t="str">
        <f>REPLACE(INDEX(GroupVertices[Group],MATCH("~"&amp;Edges27[[#This Row],[Vertex 2]],GroupVertices[Vertex],0)),1,1,"")</f>
        <v>1</v>
      </c>
      <c r="BM128" s="45">
        <v>1</v>
      </c>
      <c r="BN128" s="46">
        <v>3.5714285714285716</v>
      </c>
      <c r="BO128" s="45">
        <v>2</v>
      </c>
      <c r="BP128" s="46">
        <v>7.142857142857143</v>
      </c>
      <c r="BQ128" s="45">
        <v>0</v>
      </c>
      <c r="BR128" s="46">
        <v>0</v>
      </c>
      <c r="BS128" s="45">
        <v>13</v>
      </c>
      <c r="BT128" s="46">
        <v>46.42857142857143</v>
      </c>
      <c r="BU128" s="45">
        <v>28</v>
      </c>
    </row>
    <row r="129" spans="1:73" ht="15">
      <c r="A129" s="61" t="s">
        <v>326</v>
      </c>
      <c r="B129" s="61" t="s">
        <v>326</v>
      </c>
      <c r="C129" s="62"/>
      <c r="D129" s="63"/>
      <c r="E129" s="64"/>
      <c r="F129" s="65"/>
      <c r="G129" s="62"/>
      <c r="H129" s="66"/>
      <c r="I129" s="67"/>
      <c r="J129" s="67"/>
      <c r="K129" s="31" t="s">
        <v>65</v>
      </c>
      <c r="L129" s="75">
        <v>172</v>
      </c>
      <c r="M129" s="75"/>
      <c r="N129" s="69"/>
      <c r="O129" s="77" t="s">
        <v>178</v>
      </c>
      <c r="P129" s="79">
        <v>45318.25033564815</v>
      </c>
      <c r="Q129" s="77" t="s">
        <v>566</v>
      </c>
      <c r="R129" s="77">
        <v>0</v>
      </c>
      <c r="S129" s="77">
        <v>0</v>
      </c>
      <c r="T129" s="77">
        <v>4</v>
      </c>
      <c r="U129" s="77">
        <v>0</v>
      </c>
      <c r="V129" s="77">
        <v>672</v>
      </c>
      <c r="W129" s="77"/>
      <c r="X129" s="83"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129" s="77" t="s">
        <v>616</v>
      </c>
      <c r="Z129" s="77"/>
      <c r="AA129" s="77"/>
      <c r="AB129" s="77"/>
      <c r="AC129" s="81" t="s">
        <v>683</v>
      </c>
      <c r="AD129" s="77" t="s">
        <v>686</v>
      </c>
      <c r="AE129" s="83" t="str">
        <f>HYPERLINK("https://twitter.com/pdxbizjournal/status/1751122990299775023")</f>
        <v>https://twitter.com/pdxbizjournal/status/1751122990299775023</v>
      </c>
      <c r="AF129" s="79">
        <v>45318.25033564815</v>
      </c>
      <c r="AG129" s="85">
        <v>45318</v>
      </c>
      <c r="AH129" s="81" t="s">
        <v>811</v>
      </c>
      <c r="AI129" s="77" t="b">
        <v>0</v>
      </c>
      <c r="AJ129" s="77"/>
      <c r="AK129" s="77"/>
      <c r="AL129" s="77"/>
      <c r="AM129" s="77"/>
      <c r="AN129" s="77"/>
      <c r="AO129" s="77"/>
      <c r="AP129" s="77"/>
      <c r="AQ129" s="77"/>
      <c r="AR129" s="77"/>
      <c r="AS129" s="77"/>
      <c r="AT129" s="77"/>
      <c r="AU129" s="77"/>
      <c r="AV129" s="83" t="str">
        <f>HYPERLINK("https://pbs.twimg.com/profile_images/378800000261184161/9987150c21b663287165ee5df38f0e0c_normal.png")</f>
        <v>https://pbs.twimg.com/profile_images/378800000261184161/9987150c21b663287165ee5df38f0e0c_normal.png</v>
      </c>
      <c r="AW129" s="81" t="s">
        <v>1065</v>
      </c>
      <c r="AX129" s="81" t="s">
        <v>1065</v>
      </c>
      <c r="AY129" s="77"/>
      <c r="AZ129" s="81" t="s">
        <v>1210</v>
      </c>
      <c r="BA129" s="81" t="s">
        <v>1210</v>
      </c>
      <c r="BB129" s="81" t="s">
        <v>1210</v>
      </c>
      <c r="BC129" s="81" t="s">
        <v>1065</v>
      </c>
      <c r="BD129" s="77">
        <v>17135038</v>
      </c>
      <c r="BE129" s="77"/>
      <c r="BF129" s="77"/>
      <c r="BG129" s="77"/>
      <c r="BH129" s="77"/>
      <c r="BI129" s="77"/>
      <c r="BJ129">
        <v>3</v>
      </c>
      <c r="BK129" s="76" t="str">
        <f>REPLACE(INDEX(GroupVertices[Group],MATCH("~"&amp;Edges27[[#This Row],[Vertex 1]],GroupVertices[Vertex],0)),1,1,"")</f>
        <v>1</v>
      </c>
      <c r="BL129" s="76" t="str">
        <f>REPLACE(INDEX(GroupVertices[Group],MATCH("~"&amp;Edges27[[#This Row],[Vertex 2]],GroupVertices[Vertex],0)),1,1,"")</f>
        <v>1</v>
      </c>
      <c r="BM129" s="45">
        <v>1</v>
      </c>
      <c r="BN129" s="46">
        <v>3.5714285714285716</v>
      </c>
      <c r="BO129" s="45">
        <v>2</v>
      </c>
      <c r="BP129" s="46">
        <v>7.142857142857143</v>
      </c>
      <c r="BQ129" s="45">
        <v>0</v>
      </c>
      <c r="BR129" s="46">
        <v>0</v>
      </c>
      <c r="BS129" s="45">
        <v>13</v>
      </c>
      <c r="BT129" s="46">
        <v>46.42857142857143</v>
      </c>
      <c r="BU129" s="45">
        <v>28</v>
      </c>
    </row>
    <row r="130" spans="1:73" ht="15">
      <c r="A130" s="61" t="s">
        <v>326</v>
      </c>
      <c r="B130" s="61" t="s">
        <v>326</v>
      </c>
      <c r="C130" s="62"/>
      <c r="D130" s="63"/>
      <c r="E130" s="64"/>
      <c r="F130" s="65"/>
      <c r="G130" s="62"/>
      <c r="H130" s="66"/>
      <c r="I130" s="67"/>
      <c r="J130" s="67"/>
      <c r="K130" s="31" t="s">
        <v>65</v>
      </c>
      <c r="L130" s="75">
        <v>173</v>
      </c>
      <c r="M130" s="75"/>
      <c r="N130" s="69"/>
      <c r="O130" s="77" t="s">
        <v>178</v>
      </c>
      <c r="P130" s="79">
        <v>45317.93760416667</v>
      </c>
      <c r="Q130" s="77" t="s">
        <v>567</v>
      </c>
      <c r="R130" s="77">
        <v>0</v>
      </c>
      <c r="S130" s="77">
        <v>0</v>
      </c>
      <c r="T130" s="77">
        <v>0</v>
      </c>
      <c r="U130" s="77">
        <v>0</v>
      </c>
      <c r="V130" s="77">
        <v>475</v>
      </c>
      <c r="W130" s="77"/>
      <c r="X130" s="83"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130" s="77" t="s">
        <v>616</v>
      </c>
      <c r="Z130" s="77"/>
      <c r="AA130" s="77"/>
      <c r="AB130" s="77"/>
      <c r="AC130" s="81" t="s">
        <v>683</v>
      </c>
      <c r="AD130" s="77" t="s">
        <v>686</v>
      </c>
      <c r="AE130" s="83" t="str">
        <f>HYPERLINK("https://twitter.com/pdxbizjournal/status/1751009658565779470")</f>
        <v>https://twitter.com/pdxbizjournal/status/1751009658565779470</v>
      </c>
      <c r="AF130" s="79">
        <v>45317.93760416667</v>
      </c>
      <c r="AG130" s="85">
        <v>45317</v>
      </c>
      <c r="AH130" s="81" t="s">
        <v>812</v>
      </c>
      <c r="AI130" s="77" t="b">
        <v>0</v>
      </c>
      <c r="AJ130" s="77"/>
      <c r="AK130" s="77"/>
      <c r="AL130" s="77"/>
      <c r="AM130" s="77"/>
      <c r="AN130" s="77"/>
      <c r="AO130" s="77"/>
      <c r="AP130" s="77"/>
      <c r="AQ130" s="77"/>
      <c r="AR130" s="77"/>
      <c r="AS130" s="77"/>
      <c r="AT130" s="77"/>
      <c r="AU130" s="77"/>
      <c r="AV130" s="83" t="str">
        <f>HYPERLINK("https://pbs.twimg.com/profile_images/378800000261184161/9987150c21b663287165ee5df38f0e0c_normal.png")</f>
        <v>https://pbs.twimg.com/profile_images/378800000261184161/9987150c21b663287165ee5df38f0e0c_normal.png</v>
      </c>
      <c r="AW130" s="81" t="s">
        <v>1066</v>
      </c>
      <c r="AX130" s="81" t="s">
        <v>1066</v>
      </c>
      <c r="AY130" s="77"/>
      <c r="AZ130" s="81" t="s">
        <v>1210</v>
      </c>
      <c r="BA130" s="81" t="s">
        <v>1210</v>
      </c>
      <c r="BB130" s="81" t="s">
        <v>1210</v>
      </c>
      <c r="BC130" s="81" t="s">
        <v>1066</v>
      </c>
      <c r="BD130" s="77">
        <v>17135038</v>
      </c>
      <c r="BE130" s="77"/>
      <c r="BF130" s="77"/>
      <c r="BG130" s="77"/>
      <c r="BH130" s="77"/>
      <c r="BI130" s="77"/>
      <c r="BJ130">
        <v>3</v>
      </c>
      <c r="BK130" s="76" t="str">
        <f>REPLACE(INDEX(GroupVertices[Group],MATCH("~"&amp;Edges27[[#This Row],[Vertex 1]],GroupVertices[Vertex],0)),1,1,"")</f>
        <v>1</v>
      </c>
      <c r="BL130" s="76" t="str">
        <f>REPLACE(INDEX(GroupVertices[Group],MATCH("~"&amp;Edges27[[#This Row],[Vertex 2]],GroupVertices[Vertex],0)),1,1,"")</f>
        <v>1</v>
      </c>
      <c r="BM130" s="45">
        <v>1</v>
      </c>
      <c r="BN130" s="46">
        <v>3.5714285714285716</v>
      </c>
      <c r="BO130" s="45">
        <v>2</v>
      </c>
      <c r="BP130" s="46">
        <v>7.142857142857143</v>
      </c>
      <c r="BQ130" s="45">
        <v>0</v>
      </c>
      <c r="BR130" s="46">
        <v>0</v>
      </c>
      <c r="BS130" s="45">
        <v>13</v>
      </c>
      <c r="BT130" s="46">
        <v>46.42857142857143</v>
      </c>
      <c r="BU130" s="45">
        <v>28</v>
      </c>
    </row>
    <row r="131" spans="1:73" ht="15">
      <c r="A131" s="61" t="s">
        <v>327</v>
      </c>
      <c r="B131" s="61" t="s">
        <v>327</v>
      </c>
      <c r="C131" s="62"/>
      <c r="D131" s="63"/>
      <c r="E131" s="64"/>
      <c r="F131" s="65"/>
      <c r="G131" s="62"/>
      <c r="H131" s="66"/>
      <c r="I131" s="67"/>
      <c r="J131" s="67"/>
      <c r="K131" s="31" t="s">
        <v>65</v>
      </c>
      <c r="L131" s="75">
        <v>174</v>
      </c>
      <c r="M131" s="75"/>
      <c r="N131" s="69"/>
      <c r="O131" s="77" t="s">
        <v>178</v>
      </c>
      <c r="P131" s="79">
        <v>45313.17017361111</v>
      </c>
      <c r="Q131" s="77" t="s">
        <v>568</v>
      </c>
      <c r="R131" s="77">
        <v>4</v>
      </c>
      <c r="S131" s="77">
        <v>11</v>
      </c>
      <c r="T131" s="77">
        <v>4</v>
      </c>
      <c r="U131" s="77">
        <v>1</v>
      </c>
      <c r="V131" s="77">
        <v>10227</v>
      </c>
      <c r="W131" s="77"/>
      <c r="X131" s="83" t="str">
        <f>HYPERLINK("https://www.oregonlive.com/nation/2024/01/palestinian-death-toll-in-gaza-surpasses-25000-while-israel-announces-death-of-another-hostage.html?utm_campaign=theoregonian_sf&amp;utm_medium=social&amp;utm_source=twitter")</f>
        <v>https://www.oregonlive.com/nation/2024/01/palestinian-death-toll-in-gaza-surpasses-25000-while-israel-announces-death-of-another-hostage.html?utm_campaign=theoregonian_sf&amp;utm_medium=social&amp;utm_source=twitter</v>
      </c>
      <c r="Y131" s="77" t="s">
        <v>617</v>
      </c>
      <c r="Z131" s="77"/>
      <c r="AA131" s="77"/>
      <c r="AB131" s="77"/>
      <c r="AC131" s="81" t="s">
        <v>684</v>
      </c>
      <c r="AD131" s="77" t="s">
        <v>686</v>
      </c>
      <c r="AE131" s="83" t="str">
        <f>HYPERLINK("https://twitter.com/oregonian/status/1749281997749449163")</f>
        <v>https://twitter.com/oregonian/status/1749281997749449163</v>
      </c>
      <c r="AF131" s="79">
        <v>45313.17017361111</v>
      </c>
      <c r="AG131" s="85">
        <v>45313</v>
      </c>
      <c r="AH131" s="81" t="s">
        <v>813</v>
      </c>
      <c r="AI131" s="77" t="b">
        <v>0</v>
      </c>
      <c r="AJ131" s="77"/>
      <c r="AK131" s="77"/>
      <c r="AL131" s="77"/>
      <c r="AM131" s="77"/>
      <c r="AN131" s="77"/>
      <c r="AO131" s="77"/>
      <c r="AP131" s="77"/>
      <c r="AQ131" s="77"/>
      <c r="AR131" s="77"/>
      <c r="AS131" s="77"/>
      <c r="AT131" s="77"/>
      <c r="AU131" s="77"/>
      <c r="AV131" s="83" t="str">
        <f>HYPERLINK("https://pbs.twimg.com/profile_images/902629136916557824/O7l_oqTE_normal.jpg")</f>
        <v>https://pbs.twimg.com/profile_images/902629136916557824/O7l_oqTE_normal.jpg</v>
      </c>
      <c r="AW131" s="81" t="s">
        <v>1067</v>
      </c>
      <c r="AX131" s="81" t="s">
        <v>1067</v>
      </c>
      <c r="AY131" s="77"/>
      <c r="AZ131" s="81" t="s">
        <v>1210</v>
      </c>
      <c r="BA131" s="81" t="s">
        <v>1210</v>
      </c>
      <c r="BB131" s="81" t="s">
        <v>1210</v>
      </c>
      <c r="BC131" s="81" t="s">
        <v>1067</v>
      </c>
      <c r="BD131" s="77">
        <v>2992751</v>
      </c>
      <c r="BE131" s="77"/>
      <c r="BF131" s="77"/>
      <c r="BG131" s="77"/>
      <c r="BH131" s="77"/>
      <c r="BI131" s="77"/>
      <c r="BJ131">
        <v>1</v>
      </c>
      <c r="BK131" s="76" t="str">
        <f>REPLACE(INDEX(GroupVertices[Group],MATCH("~"&amp;Edges27[[#This Row],[Vertex 1]],GroupVertices[Vertex],0)),1,1,"")</f>
        <v>1</v>
      </c>
      <c r="BL131" s="76" t="str">
        <f>REPLACE(INDEX(GroupVertices[Group],MATCH("~"&amp;Edges27[[#This Row],[Vertex 2]],GroupVertices[Vertex],0)),1,1,"")</f>
        <v>1</v>
      </c>
      <c r="BM131" s="45">
        <v>0</v>
      </c>
      <c r="BN131" s="46">
        <v>0</v>
      </c>
      <c r="BO131" s="45">
        <v>4</v>
      </c>
      <c r="BP131" s="46">
        <v>26.666666666666668</v>
      </c>
      <c r="BQ131" s="45">
        <v>0</v>
      </c>
      <c r="BR131" s="46">
        <v>0</v>
      </c>
      <c r="BS131" s="45">
        <v>8</v>
      </c>
      <c r="BT131" s="46">
        <v>53.333333333333336</v>
      </c>
      <c r="BU131" s="45">
        <v>15</v>
      </c>
    </row>
    <row r="132" spans="1:73" ht="15">
      <c r="A132" s="61" t="s">
        <v>328</v>
      </c>
      <c r="B132" s="61" t="s">
        <v>328</v>
      </c>
      <c r="C132" s="62"/>
      <c r="D132" s="63"/>
      <c r="E132" s="64"/>
      <c r="F132" s="65"/>
      <c r="G132" s="62"/>
      <c r="H132" s="66"/>
      <c r="I132" s="67"/>
      <c r="J132" s="67"/>
      <c r="K132" s="31" t="s">
        <v>65</v>
      </c>
      <c r="L132" s="75">
        <v>175</v>
      </c>
      <c r="M132" s="75"/>
      <c r="N132" s="69"/>
      <c r="O132" s="77" t="s">
        <v>178</v>
      </c>
      <c r="P132" s="79">
        <v>45293.8646875</v>
      </c>
      <c r="Q132" s="77" t="s">
        <v>569</v>
      </c>
      <c r="R132" s="77">
        <v>69</v>
      </c>
      <c r="S132" s="77">
        <v>154</v>
      </c>
      <c r="T132" s="77">
        <v>19</v>
      </c>
      <c r="U132" s="77">
        <v>2</v>
      </c>
      <c r="V132" s="77">
        <v>5658</v>
      </c>
      <c r="W132" s="77"/>
      <c r="X132" s="83" t="str">
        <f>HYPERLINK("http://www.votebeforetolls.org")</f>
        <v>http://www.votebeforetolls.org</v>
      </c>
      <c r="Y132" s="77" t="s">
        <v>618</v>
      </c>
      <c r="Z132" s="77"/>
      <c r="AA132" s="77" t="s">
        <v>668</v>
      </c>
      <c r="AB132" s="77" t="s">
        <v>672</v>
      </c>
      <c r="AC132" s="81" t="s">
        <v>674</v>
      </c>
      <c r="AD132" s="77" t="s">
        <v>686</v>
      </c>
      <c r="AE132" s="83" t="str">
        <f>HYPERLINK("https://twitter.com/pdxreal1/status/1742285926200672484")</f>
        <v>https://twitter.com/pdxreal1/status/1742285926200672484</v>
      </c>
      <c r="AF132" s="79">
        <v>45293.8646875</v>
      </c>
      <c r="AG132" s="85">
        <v>45293</v>
      </c>
      <c r="AH132" s="81" t="s">
        <v>814</v>
      </c>
      <c r="AI132" s="77" t="b">
        <v>0</v>
      </c>
      <c r="AJ132" s="77"/>
      <c r="AK132" s="77"/>
      <c r="AL132" s="77"/>
      <c r="AM132" s="77"/>
      <c r="AN132" s="77"/>
      <c r="AO132" s="77"/>
      <c r="AP132" s="77"/>
      <c r="AQ132" s="77" t="s">
        <v>939</v>
      </c>
      <c r="AR132" s="77">
        <v>83733</v>
      </c>
      <c r="AS132" s="77"/>
      <c r="AT132" s="77"/>
      <c r="AU132" s="77"/>
      <c r="AV132" s="83" t="str">
        <f>HYPERLINK("https://pbs.twimg.com/amplify_video_thumb/1742285828414693376/img/_WJzrczufsSAQNHz.jpg")</f>
        <v>https://pbs.twimg.com/amplify_video_thumb/1742285828414693376/img/_WJzrczufsSAQNHz.jpg</v>
      </c>
      <c r="AW132" s="81" t="s">
        <v>1068</v>
      </c>
      <c r="AX132" s="81" t="s">
        <v>1068</v>
      </c>
      <c r="AY132" s="77"/>
      <c r="AZ132" s="81" t="s">
        <v>1210</v>
      </c>
      <c r="BA132" s="81" t="s">
        <v>1210</v>
      </c>
      <c r="BB132" s="81" t="s">
        <v>1210</v>
      </c>
      <c r="BC132" s="81" t="s">
        <v>1068</v>
      </c>
      <c r="BD132" s="81" t="s">
        <v>1200</v>
      </c>
      <c r="BE132" s="77"/>
      <c r="BF132" s="77"/>
      <c r="BG132" s="77"/>
      <c r="BH132" s="77"/>
      <c r="BI132" s="77"/>
      <c r="BJ132">
        <v>1</v>
      </c>
      <c r="BK132" s="76" t="str">
        <f>REPLACE(INDEX(GroupVertices[Group],MATCH("~"&amp;Edges27[[#This Row],[Vertex 1]],GroupVertices[Vertex],0)),1,1,"")</f>
        <v>11</v>
      </c>
      <c r="BL132" s="76" t="str">
        <f>REPLACE(INDEX(GroupVertices[Group],MATCH("~"&amp;Edges27[[#This Row],[Vertex 2]],GroupVertices[Vertex],0)),1,1,"")</f>
        <v>11</v>
      </c>
      <c r="BM132" s="45">
        <v>2</v>
      </c>
      <c r="BN132" s="46">
        <v>5.405405405405405</v>
      </c>
      <c r="BO132" s="45">
        <v>0</v>
      </c>
      <c r="BP132" s="46">
        <v>0</v>
      </c>
      <c r="BQ132" s="45">
        <v>0</v>
      </c>
      <c r="BR132" s="46">
        <v>0</v>
      </c>
      <c r="BS132" s="45">
        <v>16</v>
      </c>
      <c r="BT132" s="46">
        <v>43.24324324324324</v>
      </c>
      <c r="BU132" s="45">
        <v>37</v>
      </c>
    </row>
    <row r="133" spans="1:73" ht="15">
      <c r="A133" s="61" t="s">
        <v>329</v>
      </c>
      <c r="B133" s="61" t="s">
        <v>429</v>
      </c>
      <c r="C133" s="62"/>
      <c r="D133" s="63"/>
      <c r="E133" s="64"/>
      <c r="F133" s="65"/>
      <c r="G133" s="62"/>
      <c r="H133" s="66"/>
      <c r="I133" s="67"/>
      <c r="J133" s="67"/>
      <c r="K133" s="31" t="s">
        <v>65</v>
      </c>
      <c r="L133" s="75">
        <v>176</v>
      </c>
      <c r="M133" s="75"/>
      <c r="N133" s="69"/>
      <c r="O133" s="77" t="s">
        <v>438</v>
      </c>
      <c r="P133" s="79">
        <v>45314.192141203705</v>
      </c>
      <c r="Q133" s="77" t="s">
        <v>570</v>
      </c>
      <c r="R133" s="77">
        <v>0</v>
      </c>
      <c r="S133" s="77">
        <v>1</v>
      </c>
      <c r="T133" s="77">
        <v>0</v>
      </c>
      <c r="U133" s="77">
        <v>0</v>
      </c>
      <c r="V133" s="77">
        <v>236</v>
      </c>
      <c r="W133" s="77"/>
      <c r="X133" s="77"/>
      <c r="Y133" s="77"/>
      <c r="Z133" s="77" t="s">
        <v>429</v>
      </c>
      <c r="AA133" s="77"/>
      <c r="AB133" s="77"/>
      <c r="AC133" s="81" t="s">
        <v>675</v>
      </c>
      <c r="AD133" s="77" t="s">
        <v>686</v>
      </c>
      <c r="AE133" s="83" t="str">
        <f>HYPERLINK("https://twitter.com/zlorple/status/1749652350330143150")</f>
        <v>https://twitter.com/zlorple/status/1749652350330143150</v>
      </c>
      <c r="AF133" s="79">
        <v>45314.192141203705</v>
      </c>
      <c r="AG133" s="85">
        <v>45314</v>
      </c>
      <c r="AH133" s="81" t="s">
        <v>815</v>
      </c>
      <c r="AI133" s="77"/>
      <c r="AJ133" s="77"/>
      <c r="AK133" s="77"/>
      <c r="AL133" s="77"/>
      <c r="AM133" s="77"/>
      <c r="AN133" s="77"/>
      <c r="AO133" s="77"/>
      <c r="AP133" s="77"/>
      <c r="AQ133" s="77"/>
      <c r="AR133" s="77"/>
      <c r="AS133" s="77"/>
      <c r="AT133" s="77"/>
      <c r="AU133" s="77"/>
      <c r="AV133" s="83" t="str">
        <f>HYPERLINK("https://pbs.twimg.com/profile_images/1675571203438940160/xo83RUaY_normal.jpg")</f>
        <v>https://pbs.twimg.com/profile_images/1675571203438940160/xo83RUaY_normal.jpg</v>
      </c>
      <c r="AW133" s="81" t="s">
        <v>1069</v>
      </c>
      <c r="AX133" s="81" t="s">
        <v>1140</v>
      </c>
      <c r="AY133" s="81" t="s">
        <v>1203</v>
      </c>
      <c r="AZ133" s="81" t="s">
        <v>1140</v>
      </c>
      <c r="BA133" s="81" t="s">
        <v>1210</v>
      </c>
      <c r="BB133" s="81" t="s">
        <v>1210</v>
      </c>
      <c r="BC133" s="81" t="s">
        <v>1140</v>
      </c>
      <c r="BD133" s="81" t="s">
        <v>1284</v>
      </c>
      <c r="BE133" s="77"/>
      <c r="BF133" s="77"/>
      <c r="BG133" s="77"/>
      <c r="BH133" s="77"/>
      <c r="BI133" s="77"/>
      <c r="BJ133">
        <v>1</v>
      </c>
      <c r="BK133" s="76" t="str">
        <f>REPLACE(INDEX(GroupVertices[Group],MATCH("~"&amp;Edges27[[#This Row],[Vertex 1]],GroupVertices[Vertex],0)),1,1,"")</f>
        <v>28</v>
      </c>
      <c r="BL133" s="76" t="str">
        <f>REPLACE(INDEX(GroupVertices[Group],MATCH("~"&amp;Edges27[[#This Row],[Vertex 2]],GroupVertices[Vertex],0)),1,1,"")</f>
        <v>28</v>
      </c>
      <c r="BM133" s="45">
        <v>0</v>
      </c>
      <c r="BN133" s="46">
        <v>0</v>
      </c>
      <c r="BO133" s="45">
        <v>2</v>
      </c>
      <c r="BP133" s="46">
        <v>14.285714285714286</v>
      </c>
      <c r="BQ133" s="45">
        <v>0</v>
      </c>
      <c r="BR133" s="46">
        <v>0</v>
      </c>
      <c r="BS133" s="45">
        <v>9</v>
      </c>
      <c r="BT133" s="46">
        <v>64.28571428571429</v>
      </c>
      <c r="BU133" s="45">
        <v>14</v>
      </c>
    </row>
    <row r="134" spans="1:73" ht="15">
      <c r="A134" s="61" t="s">
        <v>330</v>
      </c>
      <c r="B134" s="61" t="s">
        <v>430</v>
      </c>
      <c r="C134" s="62"/>
      <c r="D134" s="63"/>
      <c r="E134" s="64"/>
      <c r="F134" s="65"/>
      <c r="G134" s="62"/>
      <c r="H134" s="66"/>
      <c r="I134" s="67"/>
      <c r="J134" s="67"/>
      <c r="K134" s="31" t="s">
        <v>65</v>
      </c>
      <c r="L134" s="75">
        <v>177</v>
      </c>
      <c r="M134" s="75"/>
      <c r="N134" s="69"/>
      <c r="O134" s="77" t="s">
        <v>439</v>
      </c>
      <c r="P134" s="79">
        <v>45320.58684027778</v>
      </c>
      <c r="Q134" s="77" t="s">
        <v>571</v>
      </c>
      <c r="R134" s="77">
        <v>0</v>
      </c>
      <c r="S134" s="77">
        <v>1</v>
      </c>
      <c r="T134" s="77">
        <v>0</v>
      </c>
      <c r="U134" s="77">
        <v>0</v>
      </c>
      <c r="V134" s="77">
        <v>123</v>
      </c>
      <c r="W134" s="77"/>
      <c r="X134" s="77"/>
      <c r="Y134" s="77"/>
      <c r="Z134" s="77"/>
      <c r="AA134" s="77"/>
      <c r="AB134" s="77"/>
      <c r="AC134" s="81" t="s">
        <v>677</v>
      </c>
      <c r="AD134" s="77" t="s">
        <v>686</v>
      </c>
      <c r="AE134" s="83" t="str">
        <f>HYPERLINK("https://twitter.com/spartytoon/status/1751969709992640794")</f>
        <v>https://twitter.com/spartytoon/status/1751969709992640794</v>
      </c>
      <c r="AF134" s="79">
        <v>45320.58684027778</v>
      </c>
      <c r="AG134" s="85">
        <v>45320</v>
      </c>
      <c r="AH134" s="81" t="s">
        <v>816</v>
      </c>
      <c r="AI134" s="77"/>
      <c r="AJ134" s="77"/>
      <c r="AK134" s="77"/>
      <c r="AL134" s="77"/>
      <c r="AM134" s="77"/>
      <c r="AN134" s="77"/>
      <c r="AO134" s="77"/>
      <c r="AP134" s="77"/>
      <c r="AQ134" s="77"/>
      <c r="AR134" s="77"/>
      <c r="AS134" s="77"/>
      <c r="AT134" s="77"/>
      <c r="AU134" s="77"/>
      <c r="AV134" s="83" t="str">
        <f>HYPERLINK("https://pbs.twimg.com/profile_images/1518820208676249600/7O4r4Ika_normal.jpg")</f>
        <v>https://pbs.twimg.com/profile_images/1518820208676249600/7O4r4Ika_normal.jpg</v>
      </c>
      <c r="AW134" s="81" t="s">
        <v>1070</v>
      </c>
      <c r="AX134" s="81" t="s">
        <v>1070</v>
      </c>
      <c r="AY134" s="77"/>
      <c r="AZ134" s="81" t="s">
        <v>1210</v>
      </c>
      <c r="BA134" s="81" t="s">
        <v>1235</v>
      </c>
      <c r="BB134" s="81" t="s">
        <v>1210</v>
      </c>
      <c r="BC134" s="81" t="s">
        <v>1235</v>
      </c>
      <c r="BD134" s="77">
        <v>155701809</v>
      </c>
      <c r="BE134" s="77"/>
      <c r="BF134" s="77"/>
      <c r="BG134" s="77"/>
      <c r="BH134" s="77"/>
      <c r="BI134" s="77"/>
      <c r="BJ134">
        <v>1</v>
      </c>
      <c r="BK134" s="76" t="str">
        <f>REPLACE(INDEX(GroupVertices[Group],MATCH("~"&amp;Edges27[[#This Row],[Vertex 1]],GroupVertices[Vertex],0)),1,1,"")</f>
        <v>27</v>
      </c>
      <c r="BL134" s="76" t="str">
        <f>REPLACE(INDEX(GroupVertices[Group],MATCH("~"&amp;Edges27[[#This Row],[Vertex 2]],GroupVertices[Vertex],0)),1,1,"")</f>
        <v>27</v>
      </c>
      <c r="BM134" s="45">
        <v>0</v>
      </c>
      <c r="BN134" s="46">
        <v>0</v>
      </c>
      <c r="BO134" s="45">
        <v>3</v>
      </c>
      <c r="BP134" s="46">
        <v>27.272727272727273</v>
      </c>
      <c r="BQ134" s="45">
        <v>0</v>
      </c>
      <c r="BR134" s="46">
        <v>0</v>
      </c>
      <c r="BS134" s="45">
        <v>3</v>
      </c>
      <c r="BT134" s="46">
        <v>27.272727272727273</v>
      </c>
      <c r="BU134" s="45">
        <v>11</v>
      </c>
    </row>
    <row r="135" spans="1:73" ht="15">
      <c r="A135" s="61" t="s">
        <v>331</v>
      </c>
      <c r="B135" s="61" t="s">
        <v>431</v>
      </c>
      <c r="C135" s="62"/>
      <c r="D135" s="63"/>
      <c r="E135" s="64"/>
      <c r="F135" s="65"/>
      <c r="G135" s="62"/>
      <c r="H135" s="66"/>
      <c r="I135" s="67"/>
      <c r="J135" s="67"/>
      <c r="K135" s="31" t="s">
        <v>65</v>
      </c>
      <c r="L135" s="75">
        <v>178</v>
      </c>
      <c r="M135" s="75"/>
      <c r="N135" s="69"/>
      <c r="O135" s="77" t="s">
        <v>438</v>
      </c>
      <c r="P135" s="79">
        <v>45151.93568287037</v>
      </c>
      <c r="Q135" s="77" t="s">
        <v>572</v>
      </c>
      <c r="R135" s="77">
        <v>0</v>
      </c>
      <c r="S135" s="77">
        <v>6</v>
      </c>
      <c r="T135" s="77">
        <v>1</v>
      </c>
      <c r="U135" s="77">
        <v>0</v>
      </c>
      <c r="V135" s="77">
        <v>168</v>
      </c>
      <c r="W135" s="77"/>
      <c r="X135" s="77"/>
      <c r="Y135" s="77"/>
      <c r="Z135" s="77" t="s">
        <v>431</v>
      </c>
      <c r="AA135" s="77"/>
      <c r="AB135" s="77"/>
      <c r="AC135" s="81" t="s">
        <v>674</v>
      </c>
      <c r="AD135" s="77" t="s">
        <v>686</v>
      </c>
      <c r="AE135" s="83" t="str">
        <f>HYPERLINK("https://twitter.com/italiangirl104/status/1690852575535665152")</f>
        <v>https://twitter.com/italiangirl104/status/1690852575535665152</v>
      </c>
      <c r="AF135" s="79">
        <v>45151.93568287037</v>
      </c>
      <c r="AG135" s="85">
        <v>45151</v>
      </c>
      <c r="AH135" s="81" t="s">
        <v>817</v>
      </c>
      <c r="AI135" s="77"/>
      <c r="AJ135" s="77" t="s">
        <v>833</v>
      </c>
      <c r="AK135" s="77" t="s">
        <v>849</v>
      </c>
      <c r="AL135" s="77" t="s">
        <v>850</v>
      </c>
      <c r="AM135" s="77" t="s">
        <v>857</v>
      </c>
      <c r="AN135" s="77" t="s">
        <v>879</v>
      </c>
      <c r="AO135" s="77" t="s">
        <v>901</v>
      </c>
      <c r="AP135" s="77" t="s">
        <v>917</v>
      </c>
      <c r="AQ135" s="77"/>
      <c r="AR135" s="77"/>
      <c r="AS135" s="77"/>
      <c r="AT135" s="77"/>
      <c r="AU135" s="77"/>
      <c r="AV135" s="83" t="str">
        <f>HYPERLINK("https://pbs.twimg.com/profile_images/1713971327378538498/vleioOuB_normal.jpg")</f>
        <v>https://pbs.twimg.com/profile_images/1713971327378538498/vleioOuB_normal.jpg</v>
      </c>
      <c r="AW135" s="81" t="s">
        <v>1071</v>
      </c>
      <c r="AX135" s="81" t="s">
        <v>1141</v>
      </c>
      <c r="AY135" s="81" t="s">
        <v>1204</v>
      </c>
      <c r="AZ135" s="81" t="s">
        <v>1233</v>
      </c>
      <c r="BA135" s="81" t="s">
        <v>1210</v>
      </c>
      <c r="BB135" s="81" t="s">
        <v>1210</v>
      </c>
      <c r="BC135" s="81" t="s">
        <v>1233</v>
      </c>
      <c r="BD135" s="81" t="s">
        <v>1285</v>
      </c>
      <c r="BE135" s="77"/>
      <c r="BF135" s="77"/>
      <c r="BG135" s="77"/>
      <c r="BH135" s="77"/>
      <c r="BI135" s="77"/>
      <c r="BJ135">
        <v>1</v>
      </c>
      <c r="BK135" s="76" t="str">
        <f>REPLACE(INDEX(GroupVertices[Group],MATCH("~"&amp;Edges27[[#This Row],[Vertex 1]],GroupVertices[Vertex],0)),1,1,"")</f>
        <v>26</v>
      </c>
      <c r="BL135" s="76" t="str">
        <f>REPLACE(INDEX(GroupVertices[Group],MATCH("~"&amp;Edges27[[#This Row],[Vertex 2]],GroupVertices[Vertex],0)),1,1,"")</f>
        <v>26</v>
      </c>
      <c r="BM135" s="45">
        <v>1</v>
      </c>
      <c r="BN135" s="46">
        <v>3.4482758620689653</v>
      </c>
      <c r="BO135" s="45">
        <v>2</v>
      </c>
      <c r="BP135" s="46">
        <v>6.896551724137931</v>
      </c>
      <c r="BQ135" s="45">
        <v>0</v>
      </c>
      <c r="BR135" s="46">
        <v>0</v>
      </c>
      <c r="BS135" s="45">
        <v>13</v>
      </c>
      <c r="BT135" s="46">
        <v>44.827586206896555</v>
      </c>
      <c r="BU135" s="45">
        <v>29</v>
      </c>
    </row>
    <row r="136" spans="1:73" ht="15">
      <c r="A136" s="61" t="s">
        <v>332</v>
      </c>
      <c r="B136" s="61" t="s">
        <v>432</v>
      </c>
      <c r="C136" s="62"/>
      <c r="D136" s="63"/>
      <c r="E136" s="64"/>
      <c r="F136" s="65"/>
      <c r="G136" s="62"/>
      <c r="H136" s="66"/>
      <c r="I136" s="67"/>
      <c r="J136" s="67"/>
      <c r="K136" s="31" t="s">
        <v>65</v>
      </c>
      <c r="L136" s="75">
        <v>179</v>
      </c>
      <c r="M136" s="75"/>
      <c r="N136" s="69"/>
      <c r="O136" s="77" t="s">
        <v>438</v>
      </c>
      <c r="P136" s="79">
        <v>45200.59798611111</v>
      </c>
      <c r="Q136" s="77" t="s">
        <v>573</v>
      </c>
      <c r="R136" s="77">
        <v>0</v>
      </c>
      <c r="S136" s="77">
        <v>0</v>
      </c>
      <c r="T136" s="77">
        <v>0</v>
      </c>
      <c r="U136" s="77">
        <v>0</v>
      </c>
      <c r="V136" s="77">
        <v>160</v>
      </c>
      <c r="W136" s="77"/>
      <c r="X136" s="77"/>
      <c r="Y136" s="77"/>
      <c r="Z136" s="77" t="s">
        <v>432</v>
      </c>
      <c r="AA136" s="77"/>
      <c r="AB136" s="77"/>
      <c r="AC136" s="81" t="s">
        <v>674</v>
      </c>
      <c r="AD136" s="77" t="s">
        <v>686</v>
      </c>
      <c r="AE136" s="83" t="str">
        <f>HYPERLINK("https://twitter.com/kenwelcome0001/status/1708487206741201174")</f>
        <v>https://twitter.com/kenwelcome0001/status/1708487206741201174</v>
      </c>
      <c r="AF136" s="79">
        <v>45200.59798611111</v>
      </c>
      <c r="AG136" s="85">
        <v>45200</v>
      </c>
      <c r="AH136" s="81" t="s">
        <v>818</v>
      </c>
      <c r="AI136" s="77"/>
      <c r="AJ136" s="77" t="s">
        <v>828</v>
      </c>
      <c r="AK136" s="77" t="s">
        <v>849</v>
      </c>
      <c r="AL136" s="77" t="s">
        <v>850</v>
      </c>
      <c r="AM136" s="77" t="s">
        <v>852</v>
      </c>
      <c r="AN136" s="77" t="s">
        <v>874</v>
      </c>
      <c r="AO136" s="77" t="s">
        <v>896</v>
      </c>
      <c r="AP136" s="77" t="s">
        <v>917</v>
      </c>
      <c r="AQ136" s="77"/>
      <c r="AR136" s="77"/>
      <c r="AS136" s="77"/>
      <c r="AT136" s="77"/>
      <c r="AU136" s="77"/>
      <c r="AV136" s="83" t="str">
        <f>HYPERLINK("https://pbs.twimg.com/profile_images/1741148346184871936/MjV4muv3_normal.jpg")</f>
        <v>https://pbs.twimg.com/profile_images/1741148346184871936/MjV4muv3_normal.jpg</v>
      </c>
      <c r="AW136" s="81" t="s">
        <v>1072</v>
      </c>
      <c r="AX136" s="81" t="s">
        <v>1142</v>
      </c>
      <c r="AY136" s="81" t="s">
        <v>1205</v>
      </c>
      <c r="AZ136" s="81" t="s">
        <v>1142</v>
      </c>
      <c r="BA136" s="81" t="s">
        <v>1210</v>
      </c>
      <c r="BB136" s="81" t="s">
        <v>1210</v>
      </c>
      <c r="BC136" s="81" t="s">
        <v>1142</v>
      </c>
      <c r="BD136" s="77">
        <v>16542604</v>
      </c>
      <c r="BE136" s="77"/>
      <c r="BF136" s="77"/>
      <c r="BG136" s="77"/>
      <c r="BH136" s="77"/>
      <c r="BI136" s="77"/>
      <c r="BJ136">
        <v>1</v>
      </c>
      <c r="BK136" s="76" t="str">
        <f>REPLACE(INDEX(GroupVertices[Group],MATCH("~"&amp;Edges27[[#This Row],[Vertex 1]],GroupVertices[Vertex],0)),1,1,"")</f>
        <v>25</v>
      </c>
      <c r="BL136" s="76" t="str">
        <f>REPLACE(INDEX(GroupVertices[Group],MATCH("~"&amp;Edges27[[#This Row],[Vertex 2]],GroupVertices[Vertex],0)),1,1,"")</f>
        <v>25</v>
      </c>
      <c r="BM136" s="45">
        <v>0</v>
      </c>
      <c r="BN136" s="46">
        <v>0</v>
      </c>
      <c r="BO136" s="45">
        <v>3</v>
      </c>
      <c r="BP136" s="46">
        <v>6.818181818181818</v>
      </c>
      <c r="BQ136" s="45">
        <v>0</v>
      </c>
      <c r="BR136" s="46">
        <v>0</v>
      </c>
      <c r="BS136" s="45">
        <v>20</v>
      </c>
      <c r="BT136" s="46">
        <v>45.45454545454545</v>
      </c>
      <c r="BU136" s="45">
        <v>44</v>
      </c>
    </row>
    <row r="137" spans="1:73" ht="15">
      <c r="A137" s="61" t="s">
        <v>333</v>
      </c>
      <c r="B137" s="61" t="s">
        <v>333</v>
      </c>
      <c r="C137" s="62"/>
      <c r="D137" s="63"/>
      <c r="E137" s="64"/>
      <c r="F137" s="65"/>
      <c r="G137" s="62"/>
      <c r="H137" s="66"/>
      <c r="I137" s="67"/>
      <c r="J137" s="67"/>
      <c r="K137" s="31" t="s">
        <v>65</v>
      </c>
      <c r="L137" s="75">
        <v>180</v>
      </c>
      <c r="M137" s="75"/>
      <c r="N137" s="69"/>
      <c r="O137" s="77" t="s">
        <v>178</v>
      </c>
      <c r="P137" s="79">
        <v>44967.06081018518</v>
      </c>
      <c r="Q137" s="77" t="s">
        <v>574</v>
      </c>
      <c r="R137" s="77">
        <v>0</v>
      </c>
      <c r="S137" s="77">
        <v>0</v>
      </c>
      <c r="T137" s="77">
        <v>0</v>
      </c>
      <c r="U137" s="77">
        <v>0</v>
      </c>
      <c r="V137" s="77">
        <v>24</v>
      </c>
      <c r="W137" s="77"/>
      <c r="X137" s="83" t="str">
        <f>HYPERLINK("https://www.washingtonpost.com/world/2023/02/09/turkey-syria-earthquake-death-count-updates/")</f>
        <v>https://www.washingtonpost.com/world/2023/02/09/turkey-syria-earthquake-death-count-updates/</v>
      </c>
      <c r="Y137" s="77" t="s">
        <v>610</v>
      </c>
      <c r="Z137" s="77"/>
      <c r="AA137" s="77"/>
      <c r="AB137" s="77"/>
      <c r="AC137" s="81" t="s">
        <v>675</v>
      </c>
      <c r="AD137" s="77" t="s">
        <v>686</v>
      </c>
      <c r="AE137" s="83" t="str">
        <f>HYPERLINK("https://twitter.com/smilinandy/status/1623856164290318336")</f>
        <v>https://twitter.com/smilinandy/status/1623856164290318336</v>
      </c>
      <c r="AF137" s="79">
        <v>44967.06081018518</v>
      </c>
      <c r="AG137" s="85">
        <v>44967</v>
      </c>
      <c r="AH137" s="81" t="s">
        <v>819</v>
      </c>
      <c r="AI137" s="77" t="b">
        <v>0</v>
      </c>
      <c r="AJ137" s="77" t="s">
        <v>848</v>
      </c>
      <c r="AK137" s="77" t="s">
        <v>849</v>
      </c>
      <c r="AL137" s="77" t="s">
        <v>850</v>
      </c>
      <c r="AM137" s="77" t="s">
        <v>872</v>
      </c>
      <c r="AN137" s="77" t="s">
        <v>894</v>
      </c>
      <c r="AO137" s="77" t="s">
        <v>916</v>
      </c>
      <c r="AP137" s="77" t="s">
        <v>917</v>
      </c>
      <c r="AQ137" s="77"/>
      <c r="AR137" s="77"/>
      <c r="AS137" s="77"/>
      <c r="AT137" s="77"/>
      <c r="AU137" s="77"/>
      <c r="AV137" s="83" t="str">
        <f>HYPERLINK("https://pbs.twimg.com/profile_images/1743760727331180544/4kh4luMw_normal.jpg")</f>
        <v>https://pbs.twimg.com/profile_images/1743760727331180544/4kh4luMw_normal.jpg</v>
      </c>
      <c r="AW137" s="81" t="s">
        <v>1073</v>
      </c>
      <c r="AX137" s="81" t="s">
        <v>1073</v>
      </c>
      <c r="AY137" s="77"/>
      <c r="AZ137" s="81" t="s">
        <v>1210</v>
      </c>
      <c r="BA137" s="81" t="s">
        <v>1210</v>
      </c>
      <c r="BB137" s="81" t="s">
        <v>1210</v>
      </c>
      <c r="BC137" s="81" t="s">
        <v>1073</v>
      </c>
      <c r="BD137" s="81" t="s">
        <v>1286</v>
      </c>
      <c r="BE137" s="77"/>
      <c r="BF137" s="77"/>
      <c r="BG137" s="77"/>
      <c r="BH137" s="77"/>
      <c r="BI137" s="77"/>
      <c r="BJ137">
        <v>1</v>
      </c>
      <c r="BK137" s="76" t="str">
        <f>REPLACE(INDEX(GroupVertices[Group],MATCH("~"&amp;Edges27[[#This Row],[Vertex 1]],GroupVertices[Vertex],0)),1,1,"")</f>
        <v>1</v>
      </c>
      <c r="BL137" s="76" t="str">
        <f>REPLACE(INDEX(GroupVertices[Group],MATCH("~"&amp;Edges27[[#This Row],[Vertex 2]],GroupVertices[Vertex],0)),1,1,"")</f>
        <v>1</v>
      </c>
      <c r="BM137" s="45">
        <v>0</v>
      </c>
      <c r="BN137" s="46">
        <v>0</v>
      </c>
      <c r="BO137" s="45">
        <v>1</v>
      </c>
      <c r="BP137" s="46">
        <v>10</v>
      </c>
      <c r="BQ137" s="45">
        <v>0</v>
      </c>
      <c r="BR137" s="46">
        <v>0</v>
      </c>
      <c r="BS137" s="45">
        <v>8</v>
      </c>
      <c r="BT137" s="46">
        <v>80</v>
      </c>
      <c r="BU137" s="45">
        <v>10</v>
      </c>
    </row>
    <row r="138" spans="1:73" ht="15">
      <c r="A138" s="61" t="s">
        <v>334</v>
      </c>
      <c r="B138" s="61" t="s">
        <v>334</v>
      </c>
      <c r="C138" s="62"/>
      <c r="D138" s="63"/>
      <c r="E138" s="64"/>
      <c r="F138" s="65"/>
      <c r="G138" s="62"/>
      <c r="H138" s="66"/>
      <c r="I138" s="67"/>
      <c r="J138" s="67"/>
      <c r="K138" s="31" t="s">
        <v>65</v>
      </c>
      <c r="L138" s="75">
        <v>181</v>
      </c>
      <c r="M138" s="75"/>
      <c r="N138" s="69"/>
      <c r="O138" s="77" t="s">
        <v>178</v>
      </c>
      <c r="P138" s="79">
        <v>45145.981157407405</v>
      </c>
      <c r="Q138" s="77" t="s">
        <v>575</v>
      </c>
      <c r="R138" s="77">
        <v>0</v>
      </c>
      <c r="S138" s="77">
        <v>0</v>
      </c>
      <c r="T138" s="77">
        <v>0</v>
      </c>
      <c r="U138" s="77">
        <v>0</v>
      </c>
      <c r="V138" s="77">
        <v>192</v>
      </c>
      <c r="W138" s="77"/>
      <c r="X138" s="77"/>
      <c r="Y138" s="77"/>
      <c r="Z138" s="77"/>
      <c r="AA138" s="77"/>
      <c r="AB138" s="77"/>
      <c r="AC138" s="81" t="s">
        <v>674</v>
      </c>
      <c r="AD138" s="77" t="s">
        <v>686</v>
      </c>
      <c r="AE138" s="83" t="str">
        <f>HYPERLINK("https://twitter.com/wintheday848/status/1688694729750523904")</f>
        <v>https://twitter.com/wintheday848/status/1688694729750523904</v>
      </c>
      <c r="AF138" s="79">
        <v>45145.981157407405</v>
      </c>
      <c r="AG138" s="85">
        <v>45145</v>
      </c>
      <c r="AH138" s="81" t="s">
        <v>820</v>
      </c>
      <c r="AI138" s="77"/>
      <c r="AJ138" s="77" t="s">
        <v>828</v>
      </c>
      <c r="AK138" s="77" t="s">
        <v>849</v>
      </c>
      <c r="AL138" s="77" t="s">
        <v>850</v>
      </c>
      <c r="AM138" s="77" t="s">
        <v>852</v>
      </c>
      <c r="AN138" s="77" t="s">
        <v>874</v>
      </c>
      <c r="AO138" s="77" t="s">
        <v>896</v>
      </c>
      <c r="AP138" s="77" t="s">
        <v>917</v>
      </c>
      <c r="AQ138" s="77"/>
      <c r="AR138" s="77"/>
      <c r="AS138" s="77"/>
      <c r="AT138" s="77"/>
      <c r="AU138" s="77"/>
      <c r="AV138" s="83" t="str">
        <f>HYPERLINK("https://pbs.twimg.com/profile_images/1653076172551651329/iKgmSKZh_normal.jpg")</f>
        <v>https://pbs.twimg.com/profile_images/1653076172551651329/iKgmSKZh_normal.jpg</v>
      </c>
      <c r="AW138" s="81" t="s">
        <v>1074</v>
      </c>
      <c r="AX138" s="81" t="s">
        <v>1074</v>
      </c>
      <c r="AY138" s="77"/>
      <c r="AZ138" s="81" t="s">
        <v>1210</v>
      </c>
      <c r="BA138" s="81" t="s">
        <v>1210</v>
      </c>
      <c r="BB138" s="81" t="s">
        <v>1210</v>
      </c>
      <c r="BC138" s="81" t="s">
        <v>1074</v>
      </c>
      <c r="BD138" s="77">
        <v>3114063950</v>
      </c>
      <c r="BE138" s="77"/>
      <c r="BF138" s="77"/>
      <c r="BG138" s="77"/>
      <c r="BH138" s="77"/>
      <c r="BI138" s="77"/>
      <c r="BJ138">
        <v>1</v>
      </c>
      <c r="BK138" s="76" t="str">
        <f>REPLACE(INDEX(GroupVertices[Group],MATCH("~"&amp;Edges27[[#This Row],[Vertex 1]],GroupVertices[Vertex],0)),1,1,"")</f>
        <v>1</v>
      </c>
      <c r="BL138" s="76" t="str">
        <f>REPLACE(INDEX(GroupVertices[Group],MATCH("~"&amp;Edges27[[#This Row],[Vertex 2]],GroupVertices[Vertex],0)),1,1,"")</f>
        <v>1</v>
      </c>
      <c r="BM138" s="45">
        <v>0</v>
      </c>
      <c r="BN138" s="46">
        <v>0</v>
      </c>
      <c r="BO138" s="45">
        <v>1</v>
      </c>
      <c r="BP138" s="46">
        <v>4</v>
      </c>
      <c r="BQ138" s="45">
        <v>0</v>
      </c>
      <c r="BR138" s="46">
        <v>0</v>
      </c>
      <c r="BS138" s="45">
        <v>8</v>
      </c>
      <c r="BT138" s="46">
        <v>32</v>
      </c>
      <c r="BU138" s="45">
        <v>25</v>
      </c>
    </row>
    <row r="139" spans="1:73" ht="15">
      <c r="A139" s="61" t="s">
        <v>335</v>
      </c>
      <c r="B139" s="61" t="s">
        <v>335</v>
      </c>
      <c r="C139" s="62"/>
      <c r="D139" s="63"/>
      <c r="E139" s="64"/>
      <c r="F139" s="65"/>
      <c r="G139" s="62"/>
      <c r="H139" s="66"/>
      <c r="I139" s="67"/>
      <c r="J139" s="67"/>
      <c r="K139" s="31" t="s">
        <v>65</v>
      </c>
      <c r="L139" s="75">
        <v>182</v>
      </c>
      <c r="M139" s="75"/>
      <c r="N139" s="69"/>
      <c r="O139" s="77" t="s">
        <v>178</v>
      </c>
      <c r="P139" s="79">
        <v>45313.000069444446</v>
      </c>
      <c r="Q139" s="77" t="s">
        <v>576</v>
      </c>
      <c r="R139" s="77">
        <v>1</v>
      </c>
      <c r="S139" s="77">
        <v>6</v>
      </c>
      <c r="T139" s="77">
        <v>28</v>
      </c>
      <c r="U139" s="77">
        <v>0</v>
      </c>
      <c r="V139" s="77">
        <v>5434</v>
      </c>
      <c r="W139" s="77"/>
      <c r="X139" s="83" t="str">
        <f>HYPERLINK("https://www.kptv.com/2024/01/21/palestinian-death-toll-soars-past-25000-gaza-with-no-end-sight-israel-hamas-war/")</f>
        <v>https://www.kptv.com/2024/01/21/palestinian-death-toll-soars-past-25000-gaza-with-no-end-sight-israel-hamas-war/</v>
      </c>
      <c r="Y139" s="77" t="s">
        <v>619</v>
      </c>
      <c r="Z139" s="77"/>
      <c r="AA139" s="77"/>
      <c r="AB139" s="77"/>
      <c r="AC139" s="81" t="s">
        <v>685</v>
      </c>
      <c r="AD139" s="77" t="s">
        <v>686</v>
      </c>
      <c r="AE139" s="83" t="str">
        <f>HYPERLINK("https://twitter.com/fox12oregon/status/1749220355334422815")</f>
        <v>https://twitter.com/fox12oregon/status/1749220355334422815</v>
      </c>
      <c r="AF139" s="79">
        <v>45313.000069444446</v>
      </c>
      <c r="AG139" s="85">
        <v>45313</v>
      </c>
      <c r="AH139" s="81" t="s">
        <v>821</v>
      </c>
      <c r="AI139" s="77" t="b">
        <v>0</v>
      </c>
      <c r="AJ139" s="77"/>
      <c r="AK139" s="77"/>
      <c r="AL139" s="77"/>
      <c r="AM139" s="77"/>
      <c r="AN139" s="77"/>
      <c r="AO139" s="77"/>
      <c r="AP139" s="77"/>
      <c r="AQ139" s="77"/>
      <c r="AR139" s="77"/>
      <c r="AS139" s="77"/>
      <c r="AT139" s="77"/>
      <c r="AU139" s="77"/>
      <c r="AV139" s="83" t="str">
        <f>HYPERLINK("https://pbs.twimg.com/profile_images/1519076253948514304/cGzuNsOd_normal.jpg")</f>
        <v>https://pbs.twimg.com/profile_images/1519076253948514304/cGzuNsOd_normal.jpg</v>
      </c>
      <c r="AW139" s="81" t="s">
        <v>1075</v>
      </c>
      <c r="AX139" s="81" t="s">
        <v>1075</v>
      </c>
      <c r="AY139" s="77"/>
      <c r="AZ139" s="81" t="s">
        <v>1210</v>
      </c>
      <c r="BA139" s="81" t="s">
        <v>1210</v>
      </c>
      <c r="BB139" s="81" t="s">
        <v>1210</v>
      </c>
      <c r="BC139" s="81" t="s">
        <v>1075</v>
      </c>
      <c r="BD139" s="77">
        <v>15564045</v>
      </c>
      <c r="BE139" s="77"/>
      <c r="BF139" s="77"/>
      <c r="BG139" s="77"/>
      <c r="BH139" s="77"/>
      <c r="BI139" s="77"/>
      <c r="BJ139">
        <v>1</v>
      </c>
      <c r="BK139" s="76" t="str">
        <f>REPLACE(INDEX(GroupVertices[Group],MATCH("~"&amp;Edges27[[#This Row],[Vertex 1]],GroupVertices[Vertex],0)),1,1,"")</f>
        <v>24</v>
      </c>
      <c r="BL139" s="76" t="str">
        <f>REPLACE(INDEX(GroupVertices[Group],MATCH("~"&amp;Edges27[[#This Row],[Vertex 2]],GroupVertices[Vertex],0)),1,1,"")</f>
        <v>24</v>
      </c>
      <c r="BM139" s="45">
        <v>0</v>
      </c>
      <c r="BN139" s="46">
        <v>0</v>
      </c>
      <c r="BO139" s="45">
        <v>2</v>
      </c>
      <c r="BP139" s="46">
        <v>11.11111111111111</v>
      </c>
      <c r="BQ139" s="45">
        <v>0</v>
      </c>
      <c r="BR139" s="46">
        <v>0</v>
      </c>
      <c r="BS139" s="45">
        <v>11</v>
      </c>
      <c r="BT139" s="46">
        <v>61.111111111111114</v>
      </c>
      <c r="BU139" s="45">
        <v>18</v>
      </c>
    </row>
    <row r="140" spans="1:73" ht="15">
      <c r="A140" s="61" t="s">
        <v>336</v>
      </c>
      <c r="B140" s="61" t="s">
        <v>335</v>
      </c>
      <c r="C140" s="62"/>
      <c r="D140" s="63"/>
      <c r="E140" s="64"/>
      <c r="F140" s="65"/>
      <c r="G140" s="62"/>
      <c r="H140" s="66"/>
      <c r="I140" s="67"/>
      <c r="J140" s="67"/>
      <c r="K140" s="31" t="s">
        <v>65</v>
      </c>
      <c r="L140" s="75">
        <v>183</v>
      </c>
      <c r="M140" s="75"/>
      <c r="N140" s="69"/>
      <c r="O140" s="77" t="s">
        <v>440</v>
      </c>
      <c r="P140" s="79">
        <v>45225.58219907407</v>
      </c>
      <c r="Q140" s="77" t="s">
        <v>577</v>
      </c>
      <c r="R140" s="77">
        <v>4</v>
      </c>
      <c r="S140" s="77">
        <v>14</v>
      </c>
      <c r="T140" s="77">
        <v>4</v>
      </c>
      <c r="U140" s="77">
        <v>1</v>
      </c>
      <c r="V140" s="77">
        <v>5160</v>
      </c>
      <c r="W140" s="77"/>
      <c r="X140" s="77"/>
      <c r="Y140" s="77"/>
      <c r="Z140" s="77" t="s">
        <v>335</v>
      </c>
      <c r="AA140" s="77"/>
      <c r="AB140" s="77"/>
      <c r="AC140" s="81" t="s">
        <v>675</v>
      </c>
      <c r="AD140" s="77" t="s">
        <v>686</v>
      </c>
      <c r="AE140" s="83" t="str">
        <f>HYPERLINK("https://twitter.com/miavtv/status/1717541180458881371")</f>
        <v>https://twitter.com/miavtv/status/1717541180458881371</v>
      </c>
      <c r="AF140" s="79">
        <v>45225.58219907407</v>
      </c>
      <c r="AG140" s="85">
        <v>45225</v>
      </c>
      <c r="AH140" s="81" t="s">
        <v>822</v>
      </c>
      <c r="AI140" s="77"/>
      <c r="AJ140" s="77"/>
      <c r="AK140" s="77"/>
      <c r="AL140" s="77"/>
      <c r="AM140" s="77"/>
      <c r="AN140" s="77"/>
      <c r="AO140" s="77"/>
      <c r="AP140" s="77"/>
      <c r="AQ140" s="77"/>
      <c r="AR140" s="77"/>
      <c r="AS140" s="77"/>
      <c r="AT140" s="77"/>
      <c r="AU140" s="77"/>
      <c r="AV140" s="83" t="str">
        <f>HYPERLINK("https://pbs.twimg.com/profile_images/1449016357652078592/67q4vPNc_normal.jpg")</f>
        <v>https://pbs.twimg.com/profile_images/1449016357652078592/67q4vPNc_normal.jpg</v>
      </c>
      <c r="AW140" s="81" t="s">
        <v>1076</v>
      </c>
      <c r="AX140" s="81" t="s">
        <v>1076</v>
      </c>
      <c r="AY140" s="77"/>
      <c r="AZ140" s="81" t="s">
        <v>1210</v>
      </c>
      <c r="BA140" s="81" t="s">
        <v>1210</v>
      </c>
      <c r="BB140" s="81" t="s">
        <v>1210</v>
      </c>
      <c r="BC140" s="81" t="s">
        <v>1076</v>
      </c>
      <c r="BD140" s="81" t="s">
        <v>1287</v>
      </c>
      <c r="BE140" s="77"/>
      <c r="BF140" s="77"/>
      <c r="BG140" s="77"/>
      <c r="BH140" s="77"/>
      <c r="BI140" s="77"/>
      <c r="BJ140">
        <v>1</v>
      </c>
      <c r="BK140" s="76" t="str">
        <f>REPLACE(INDEX(GroupVertices[Group],MATCH("~"&amp;Edges27[[#This Row],[Vertex 1]],GroupVertices[Vertex],0)),1,1,"")</f>
        <v>24</v>
      </c>
      <c r="BL140" s="76" t="str">
        <f>REPLACE(INDEX(GroupVertices[Group],MATCH("~"&amp;Edges27[[#This Row],[Vertex 2]],GroupVertices[Vertex],0)),1,1,"")</f>
        <v>24</v>
      </c>
      <c r="BM140" s="45">
        <v>0</v>
      </c>
      <c r="BN140" s="46">
        <v>0</v>
      </c>
      <c r="BO140" s="45">
        <v>3</v>
      </c>
      <c r="BP140" s="46">
        <v>6</v>
      </c>
      <c r="BQ140" s="45">
        <v>0</v>
      </c>
      <c r="BR140" s="46">
        <v>0</v>
      </c>
      <c r="BS140" s="45">
        <v>26</v>
      </c>
      <c r="BT140" s="46">
        <v>52</v>
      </c>
      <c r="BU140" s="45">
        <v>50</v>
      </c>
    </row>
    <row r="141" spans="1:73" ht="15">
      <c r="A141" s="61" t="s">
        <v>336</v>
      </c>
      <c r="B141" s="61" t="s">
        <v>336</v>
      </c>
      <c r="C141" s="62"/>
      <c r="D141" s="63"/>
      <c r="E141" s="64"/>
      <c r="F141" s="65"/>
      <c r="G141" s="62"/>
      <c r="H141" s="66"/>
      <c r="I141" s="67"/>
      <c r="J141" s="67"/>
      <c r="K141" s="31" t="s">
        <v>65</v>
      </c>
      <c r="L141" s="75">
        <v>184</v>
      </c>
      <c r="M141" s="75"/>
      <c r="N141" s="69"/>
      <c r="O141" s="77" t="s">
        <v>439</v>
      </c>
      <c r="P141" s="79">
        <v>45225.70421296296</v>
      </c>
      <c r="Q141" s="77" t="s">
        <v>578</v>
      </c>
      <c r="R141" s="77">
        <v>1</v>
      </c>
      <c r="S141" s="77">
        <v>2</v>
      </c>
      <c r="T141" s="77">
        <v>0</v>
      </c>
      <c r="U141" s="77">
        <v>0</v>
      </c>
      <c r="V141" s="77">
        <v>1085</v>
      </c>
      <c r="W141" s="77"/>
      <c r="X141" s="77"/>
      <c r="Y141" s="77"/>
      <c r="Z141" s="77"/>
      <c r="AA141" s="77"/>
      <c r="AB141" s="77"/>
      <c r="AC141" s="81" t="s">
        <v>674</v>
      </c>
      <c r="AD141" s="77" t="s">
        <v>686</v>
      </c>
      <c r="AE141" s="83" t="str">
        <f>HYPERLINK("https://twitter.com/miavtv/status/1717585398829031795")</f>
        <v>https://twitter.com/miavtv/status/1717585398829031795</v>
      </c>
      <c r="AF141" s="79">
        <v>45225.70421296296</v>
      </c>
      <c r="AG141" s="85">
        <v>45225</v>
      </c>
      <c r="AH141" s="81" t="s">
        <v>823</v>
      </c>
      <c r="AI141" s="77"/>
      <c r="AJ141" s="77" t="s">
        <v>837</v>
      </c>
      <c r="AK141" s="77" t="s">
        <v>849</v>
      </c>
      <c r="AL141" s="77" t="s">
        <v>850</v>
      </c>
      <c r="AM141" s="77" t="s">
        <v>861</v>
      </c>
      <c r="AN141" s="77" t="s">
        <v>883</v>
      </c>
      <c r="AO141" s="77" t="s">
        <v>905</v>
      </c>
      <c r="AP141" s="77" t="s">
        <v>917</v>
      </c>
      <c r="AQ141" s="77"/>
      <c r="AR141" s="77"/>
      <c r="AS141" s="77"/>
      <c r="AT141" s="77"/>
      <c r="AU141" s="77"/>
      <c r="AV141" s="83" t="str">
        <f>HYPERLINK("https://pbs.twimg.com/profile_images/1449016357652078592/67q4vPNc_normal.jpg")</f>
        <v>https://pbs.twimg.com/profile_images/1449016357652078592/67q4vPNc_normal.jpg</v>
      </c>
      <c r="AW141" s="81" t="s">
        <v>1077</v>
      </c>
      <c r="AX141" s="81" t="s">
        <v>1077</v>
      </c>
      <c r="AY141" s="77"/>
      <c r="AZ141" s="81" t="s">
        <v>1210</v>
      </c>
      <c r="BA141" s="81" t="s">
        <v>1076</v>
      </c>
      <c r="BB141" s="81" t="s">
        <v>1210</v>
      </c>
      <c r="BC141" s="81" t="s">
        <v>1076</v>
      </c>
      <c r="BD141" s="81" t="s">
        <v>1287</v>
      </c>
      <c r="BE141" s="77"/>
      <c r="BF141" s="77"/>
      <c r="BG141" s="77"/>
      <c r="BH141" s="77"/>
      <c r="BI141" s="77"/>
      <c r="BJ141">
        <v>1</v>
      </c>
      <c r="BK141" s="76" t="str">
        <f>REPLACE(INDEX(GroupVertices[Group],MATCH("~"&amp;Edges27[[#This Row],[Vertex 1]],GroupVertices[Vertex],0)),1,1,"")</f>
        <v>24</v>
      </c>
      <c r="BL141" s="76" t="str">
        <f>REPLACE(INDEX(GroupVertices[Group],MATCH("~"&amp;Edges27[[#This Row],[Vertex 2]],GroupVertices[Vertex],0)),1,1,"")</f>
        <v>24</v>
      </c>
      <c r="BM141" s="45">
        <v>0</v>
      </c>
      <c r="BN141" s="46">
        <v>0</v>
      </c>
      <c r="BO141" s="45">
        <v>3</v>
      </c>
      <c r="BP141" s="46">
        <v>17.647058823529413</v>
      </c>
      <c r="BQ141" s="45">
        <v>0</v>
      </c>
      <c r="BR141" s="46">
        <v>0</v>
      </c>
      <c r="BS141" s="45">
        <v>12</v>
      </c>
      <c r="BT141" s="46">
        <v>70.58823529411765</v>
      </c>
      <c r="BU141" s="45">
        <v>17</v>
      </c>
    </row>
    <row r="142" spans="1:73" ht="15">
      <c r="A142" s="61" t="s">
        <v>337</v>
      </c>
      <c r="B142" s="61" t="s">
        <v>350</v>
      </c>
      <c r="C142" s="62"/>
      <c r="D142" s="63"/>
      <c r="E142" s="64"/>
      <c r="F142" s="65"/>
      <c r="G142" s="62"/>
      <c r="H142" s="66"/>
      <c r="I142" s="67"/>
      <c r="J142" s="67"/>
      <c r="K142" s="31" t="s">
        <v>65</v>
      </c>
      <c r="L142" s="75">
        <v>185</v>
      </c>
      <c r="M142" s="75"/>
      <c r="N142" s="69"/>
      <c r="O142" s="77" t="s">
        <v>438</v>
      </c>
      <c r="P142" s="79">
        <v>45302.62452546296</v>
      </c>
      <c r="Q142" s="77" t="s">
        <v>579</v>
      </c>
      <c r="R142" s="77">
        <v>0</v>
      </c>
      <c r="S142" s="77">
        <v>0</v>
      </c>
      <c r="T142" s="77">
        <v>1</v>
      </c>
      <c r="U142" s="77">
        <v>0</v>
      </c>
      <c r="V142" s="77">
        <v>88</v>
      </c>
      <c r="W142" s="81" t="s">
        <v>596</v>
      </c>
      <c r="X142" s="77"/>
      <c r="Y142" s="77"/>
      <c r="Z142" s="77" t="s">
        <v>350</v>
      </c>
      <c r="AA142" s="77"/>
      <c r="AB142" s="77"/>
      <c r="AC142" s="81" t="s">
        <v>677</v>
      </c>
      <c r="AD142" s="77" t="s">
        <v>686</v>
      </c>
      <c r="AE142" s="83" t="str">
        <f>HYPERLINK("https://twitter.com/kavanah613/status/1745460385216594281")</f>
        <v>https://twitter.com/kavanah613/status/1745460385216594281</v>
      </c>
      <c r="AF142" s="79">
        <v>45302.62452546296</v>
      </c>
      <c r="AG142" s="85">
        <v>45302</v>
      </c>
      <c r="AH142" s="81" t="s">
        <v>824</v>
      </c>
      <c r="AI142" s="77"/>
      <c r="AJ142" s="77" t="s">
        <v>840</v>
      </c>
      <c r="AK142" s="77" t="s">
        <v>849</v>
      </c>
      <c r="AL142" s="77" t="s">
        <v>850</v>
      </c>
      <c r="AM142" s="77" t="s">
        <v>864</v>
      </c>
      <c r="AN142" s="77" t="s">
        <v>886</v>
      </c>
      <c r="AO142" s="77" t="s">
        <v>908</v>
      </c>
      <c r="AP142" s="77" t="s">
        <v>917</v>
      </c>
      <c r="AQ142" s="77"/>
      <c r="AR142" s="77"/>
      <c r="AS142" s="77"/>
      <c r="AT142" s="77"/>
      <c r="AU142" s="77"/>
      <c r="AV142" s="83" t="str">
        <f>HYPERLINK("https://pbs.twimg.com/profile_images/1086878175076872192/csiEd6v6_normal.jpg")</f>
        <v>https://pbs.twimg.com/profile_images/1086878175076872192/csiEd6v6_normal.jpg</v>
      </c>
      <c r="AW142" s="81" t="s">
        <v>1078</v>
      </c>
      <c r="AX142" s="81" t="s">
        <v>1143</v>
      </c>
      <c r="AY142" s="81" t="s">
        <v>1151</v>
      </c>
      <c r="AZ142" s="81" t="s">
        <v>1143</v>
      </c>
      <c r="BA142" s="81" t="s">
        <v>1210</v>
      </c>
      <c r="BB142" s="81" t="s">
        <v>1210</v>
      </c>
      <c r="BC142" s="81" t="s">
        <v>1143</v>
      </c>
      <c r="BD142" s="77">
        <v>35806364</v>
      </c>
      <c r="BE142" s="77"/>
      <c r="BF142" s="77"/>
      <c r="BG142" s="77"/>
      <c r="BH142" s="77"/>
      <c r="BI142" s="77"/>
      <c r="BJ142">
        <v>1</v>
      </c>
      <c r="BK142" s="76" t="str">
        <f>REPLACE(INDEX(GroupVertices[Group],MATCH("~"&amp;Edges27[[#This Row],[Vertex 1]],GroupVertices[Vertex],0)),1,1,"")</f>
        <v>2</v>
      </c>
      <c r="BL142" s="76" t="str">
        <f>REPLACE(INDEX(GroupVertices[Group],MATCH("~"&amp;Edges27[[#This Row],[Vertex 2]],GroupVertices[Vertex],0)),1,1,"")</f>
        <v>2</v>
      </c>
      <c r="BM142" s="45">
        <v>1</v>
      </c>
      <c r="BN142" s="46">
        <v>3.225806451612903</v>
      </c>
      <c r="BO142" s="45">
        <v>1</v>
      </c>
      <c r="BP142" s="46">
        <v>3.225806451612903</v>
      </c>
      <c r="BQ142" s="45">
        <v>0</v>
      </c>
      <c r="BR142" s="46">
        <v>0</v>
      </c>
      <c r="BS142" s="45">
        <v>14</v>
      </c>
      <c r="BT142" s="46">
        <v>45.16129032258065</v>
      </c>
      <c r="BU142" s="45">
        <v>31</v>
      </c>
    </row>
    <row r="143" spans="1:73" ht="15">
      <c r="A143" s="61" t="s">
        <v>338</v>
      </c>
      <c r="B143" s="61" t="s">
        <v>433</v>
      </c>
      <c r="C143" s="62"/>
      <c r="D143" s="63"/>
      <c r="E143" s="64"/>
      <c r="F143" s="65"/>
      <c r="G143" s="62"/>
      <c r="H143" s="66"/>
      <c r="I143" s="67"/>
      <c r="J143" s="67"/>
      <c r="K143" s="31" t="s">
        <v>65</v>
      </c>
      <c r="L143" s="75">
        <v>186</v>
      </c>
      <c r="M143" s="75"/>
      <c r="N143" s="69"/>
      <c r="O143" s="77" t="s">
        <v>437</v>
      </c>
      <c r="P143" s="79">
        <v>45137.73716435185</v>
      </c>
      <c r="Q143" s="77" t="s">
        <v>580</v>
      </c>
      <c r="R143" s="77">
        <v>0</v>
      </c>
      <c r="S143" s="77">
        <v>3</v>
      </c>
      <c r="T143" s="77">
        <v>1</v>
      </c>
      <c r="U143" s="77">
        <v>0</v>
      </c>
      <c r="V143" s="77">
        <v>24</v>
      </c>
      <c r="W143" s="77"/>
      <c r="X143" s="77"/>
      <c r="Y143" s="77"/>
      <c r="Z143" s="77" t="s">
        <v>646</v>
      </c>
      <c r="AA143" s="77"/>
      <c r="AB143" s="77"/>
      <c r="AC143" s="81" t="s">
        <v>674</v>
      </c>
      <c r="AD143" s="77" t="s">
        <v>686</v>
      </c>
      <c r="AE143" s="83" t="str">
        <f>HYPERLINK("https://twitter.com/zciwogor/status/1685707206535356417")</f>
        <v>https://twitter.com/zciwogor/status/1685707206535356417</v>
      </c>
      <c r="AF143" s="79">
        <v>45137.73716435185</v>
      </c>
      <c r="AG143" s="85">
        <v>45137</v>
      </c>
      <c r="AH143" s="81" t="s">
        <v>825</v>
      </c>
      <c r="AI143" s="77"/>
      <c r="AJ143" s="77" t="s">
        <v>846</v>
      </c>
      <c r="AK143" s="77" t="s">
        <v>849</v>
      </c>
      <c r="AL143" s="77" t="s">
        <v>850</v>
      </c>
      <c r="AM143" s="77" t="s">
        <v>870</v>
      </c>
      <c r="AN143" s="77" t="s">
        <v>892</v>
      </c>
      <c r="AO143" s="77" t="s">
        <v>914</v>
      </c>
      <c r="AP143" s="77" t="s">
        <v>917</v>
      </c>
      <c r="AQ143" s="77"/>
      <c r="AR143" s="77"/>
      <c r="AS143" s="77"/>
      <c r="AT143" s="77"/>
      <c r="AU143" s="77"/>
      <c r="AV143" s="83" t="str">
        <f>HYPERLINK("https://pbs.twimg.com/profile_images/1681786098190815232/zk_d_1f6_normal.jpg")</f>
        <v>https://pbs.twimg.com/profile_images/1681786098190815232/zk_d_1f6_normal.jpg</v>
      </c>
      <c r="AW143" s="81" t="s">
        <v>1079</v>
      </c>
      <c r="AX143" s="81" t="s">
        <v>1144</v>
      </c>
      <c r="AY143" s="81" t="s">
        <v>1206</v>
      </c>
      <c r="AZ143" s="81" t="s">
        <v>1234</v>
      </c>
      <c r="BA143" s="81" t="s">
        <v>1210</v>
      </c>
      <c r="BB143" s="81" t="s">
        <v>1210</v>
      </c>
      <c r="BC143" s="81" t="s">
        <v>1234</v>
      </c>
      <c r="BD143" s="77">
        <v>139196645</v>
      </c>
      <c r="BE143" s="77"/>
      <c r="BF143" s="77"/>
      <c r="BG143" s="77"/>
      <c r="BH143" s="77"/>
      <c r="BI143" s="77"/>
      <c r="BJ143">
        <v>1</v>
      </c>
      <c r="BK143" s="76" t="str">
        <f>REPLACE(INDEX(GroupVertices[Group],MATCH("~"&amp;Edges27[[#This Row],[Vertex 1]],GroupVertices[Vertex],0)),1,1,"")</f>
        <v>8</v>
      </c>
      <c r="BL143" s="76" t="str">
        <f>REPLACE(INDEX(GroupVertices[Group],MATCH("~"&amp;Edges27[[#This Row],[Vertex 2]],GroupVertices[Vertex],0)),1,1,"")</f>
        <v>8</v>
      </c>
      <c r="BM143" s="45"/>
      <c r="BN143" s="46"/>
      <c r="BO143" s="45"/>
      <c r="BP143" s="46"/>
      <c r="BQ143" s="45"/>
      <c r="BR143" s="46"/>
      <c r="BS143" s="45"/>
      <c r="BT143" s="46"/>
      <c r="BU143" s="45"/>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allowBlank="1" showInputMessage="1" showErrorMessage="1" promptTitle="Vertex 2 Name" prompt="Enter the name of the edge's second vertex." sqref="B3:B143"/>
    <dataValidation allowBlank="1" showInputMessage="1" showErrorMessage="1" promptTitle="Vertex 1 Name" prompt="Enter the name of the edge's first vertex." sqref="A3:A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Color" prompt="To select an optional edge color, right-click and select Select Color on the right-click menu." sqref="C3:C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ErrorMessage="1" sqref="N2:N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22FC4-0057-4795-A2BF-EECDED05006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10985</v>
      </c>
      <c r="B1" s="7" t="s">
        <v>10996</v>
      </c>
      <c r="C1" s="7" t="s">
        <v>10997</v>
      </c>
      <c r="D1" s="7" t="s">
        <v>11007</v>
      </c>
      <c r="E1" s="7" t="s">
        <v>11006</v>
      </c>
      <c r="F1" s="7" t="s">
        <v>11010</v>
      </c>
      <c r="G1" s="7" t="s">
        <v>11009</v>
      </c>
      <c r="H1" s="7" t="s">
        <v>11013</v>
      </c>
      <c r="I1" s="76" t="s">
        <v>11012</v>
      </c>
      <c r="J1" s="76" t="s">
        <v>11015</v>
      </c>
      <c r="K1" s="76" t="s">
        <v>11014</v>
      </c>
      <c r="L1" s="76" t="s">
        <v>11017</v>
      </c>
      <c r="M1" s="76" t="s">
        <v>11016</v>
      </c>
      <c r="N1" s="76" t="s">
        <v>11019</v>
      </c>
      <c r="O1" s="76" t="s">
        <v>11018</v>
      </c>
      <c r="P1" s="76" t="s">
        <v>11021</v>
      </c>
      <c r="Q1" s="76" t="s">
        <v>11020</v>
      </c>
      <c r="R1" s="76" t="s">
        <v>11023</v>
      </c>
      <c r="S1" s="76" t="s">
        <v>11022</v>
      </c>
      <c r="T1" s="76" t="s">
        <v>11025</v>
      </c>
      <c r="U1" s="76" t="s">
        <v>11024</v>
      </c>
      <c r="V1" s="76" t="s">
        <v>11026</v>
      </c>
    </row>
    <row r="2" spans="1:22" ht="15">
      <c r="A2" s="82" t="s">
        <v>10986</v>
      </c>
      <c r="B2" s="76">
        <v>2</v>
      </c>
      <c r="C2" s="82" t="s">
        <v>10986</v>
      </c>
      <c r="D2" s="76">
        <v>2</v>
      </c>
      <c r="E2" s="82" t="s">
        <v>10993</v>
      </c>
      <c r="F2" s="76">
        <v>1</v>
      </c>
      <c r="G2" s="82" t="s">
        <v>11011</v>
      </c>
      <c r="H2" s="76">
        <v>1</v>
      </c>
      <c r="I2" s="76"/>
      <c r="J2" s="76"/>
      <c r="K2" s="76"/>
      <c r="L2" s="76"/>
      <c r="M2" s="76"/>
      <c r="N2" s="76"/>
      <c r="O2" s="76"/>
      <c r="P2" s="76"/>
      <c r="Q2" s="76"/>
      <c r="R2" s="76"/>
      <c r="S2" s="76"/>
      <c r="T2" s="76"/>
      <c r="U2" s="76"/>
      <c r="V2" s="76"/>
    </row>
    <row r="3" spans="1:22" ht="15">
      <c r="A3" s="83" t="s">
        <v>10987</v>
      </c>
      <c r="B3" s="76">
        <v>1</v>
      </c>
      <c r="C3" s="82" t="s">
        <v>10998</v>
      </c>
      <c r="D3" s="76">
        <v>1</v>
      </c>
      <c r="E3" s="82" t="s">
        <v>11008</v>
      </c>
      <c r="F3" s="76">
        <v>1</v>
      </c>
      <c r="G3" s="76"/>
      <c r="H3" s="76"/>
      <c r="I3" s="76"/>
      <c r="J3" s="76"/>
      <c r="K3" s="76"/>
      <c r="L3" s="76"/>
      <c r="M3" s="76"/>
      <c r="N3" s="76"/>
      <c r="O3" s="76"/>
      <c r="P3" s="76"/>
      <c r="Q3" s="76"/>
      <c r="R3" s="76"/>
      <c r="S3" s="76"/>
      <c r="T3" s="76"/>
      <c r="U3" s="76"/>
      <c r="V3" s="76"/>
    </row>
    <row r="4" spans="1:22" ht="15">
      <c r="A4" s="83" t="s">
        <v>10988</v>
      </c>
      <c r="B4" s="76">
        <v>1</v>
      </c>
      <c r="C4" s="82" t="s">
        <v>10999</v>
      </c>
      <c r="D4" s="76">
        <v>1</v>
      </c>
      <c r="E4" s="76"/>
      <c r="F4" s="76"/>
      <c r="G4" s="76"/>
      <c r="H4" s="76"/>
      <c r="I4" s="76"/>
      <c r="J4" s="76"/>
      <c r="K4" s="76"/>
      <c r="L4" s="76"/>
      <c r="M4" s="76"/>
      <c r="N4" s="76"/>
      <c r="O4" s="76"/>
      <c r="P4" s="76"/>
      <c r="Q4" s="76"/>
      <c r="R4" s="76"/>
      <c r="S4" s="76"/>
      <c r="T4" s="76"/>
      <c r="U4" s="76"/>
      <c r="V4" s="76"/>
    </row>
    <row r="5" spans="1:22" ht="15">
      <c r="A5" s="83" t="s">
        <v>10989</v>
      </c>
      <c r="B5" s="76">
        <v>1</v>
      </c>
      <c r="C5" s="82" t="s">
        <v>11000</v>
      </c>
      <c r="D5" s="76">
        <v>1</v>
      </c>
      <c r="E5" s="76"/>
      <c r="F5" s="76"/>
      <c r="G5" s="76"/>
      <c r="H5" s="76"/>
      <c r="I5" s="76"/>
      <c r="J5" s="76"/>
      <c r="K5" s="76"/>
      <c r="L5" s="76"/>
      <c r="M5" s="76"/>
      <c r="N5" s="76"/>
      <c r="O5" s="76"/>
      <c r="P5" s="76"/>
      <c r="Q5" s="76"/>
      <c r="R5" s="76"/>
      <c r="S5" s="76"/>
      <c r="T5" s="76"/>
      <c r="U5" s="76"/>
      <c r="V5" s="76"/>
    </row>
    <row r="6" spans="1:22" ht="15">
      <c r="A6" s="83" t="s">
        <v>10990</v>
      </c>
      <c r="B6" s="76">
        <v>1</v>
      </c>
      <c r="C6" s="82" t="s">
        <v>11001</v>
      </c>
      <c r="D6" s="76">
        <v>1</v>
      </c>
      <c r="E6" s="76"/>
      <c r="F6" s="76"/>
      <c r="G6" s="76"/>
      <c r="H6" s="76"/>
      <c r="I6" s="76"/>
      <c r="J6" s="76"/>
      <c r="K6" s="76"/>
      <c r="L6" s="76"/>
      <c r="M6" s="76"/>
      <c r="N6" s="76"/>
      <c r="O6" s="76"/>
      <c r="P6" s="76"/>
      <c r="Q6" s="76"/>
      <c r="R6" s="76"/>
      <c r="S6" s="76"/>
      <c r="T6" s="76"/>
      <c r="U6" s="76"/>
      <c r="V6" s="76"/>
    </row>
    <row r="7" spans="1:22" ht="15">
      <c r="A7" s="83" t="s">
        <v>10991</v>
      </c>
      <c r="B7" s="76">
        <v>1</v>
      </c>
      <c r="C7" s="82" t="s">
        <v>11002</v>
      </c>
      <c r="D7" s="76">
        <v>1</v>
      </c>
      <c r="E7" s="76"/>
      <c r="F7" s="76"/>
      <c r="G7" s="76"/>
      <c r="H7" s="76"/>
      <c r="I7" s="76"/>
      <c r="J7" s="76"/>
      <c r="K7" s="76"/>
      <c r="L7" s="76"/>
      <c r="M7" s="76"/>
      <c r="N7" s="76"/>
      <c r="O7" s="76"/>
      <c r="P7" s="76"/>
      <c r="Q7" s="76"/>
      <c r="R7" s="76"/>
      <c r="S7" s="76"/>
      <c r="T7" s="76"/>
      <c r="U7" s="76"/>
      <c r="V7" s="76"/>
    </row>
    <row r="8" spans="1:22" ht="15">
      <c r="A8" s="83" t="s">
        <v>10992</v>
      </c>
      <c r="B8" s="76">
        <v>1</v>
      </c>
      <c r="C8" s="82" t="s">
        <v>11003</v>
      </c>
      <c r="D8" s="76">
        <v>1</v>
      </c>
      <c r="E8" s="76"/>
      <c r="F8" s="76"/>
      <c r="G8" s="76"/>
      <c r="H8" s="76"/>
      <c r="I8" s="76"/>
      <c r="J8" s="76"/>
      <c r="K8" s="76"/>
      <c r="L8" s="76"/>
      <c r="M8" s="76"/>
      <c r="N8" s="76"/>
      <c r="O8" s="76"/>
      <c r="P8" s="76"/>
      <c r="Q8" s="76"/>
      <c r="R8" s="76"/>
      <c r="S8" s="76"/>
      <c r="T8" s="76"/>
      <c r="U8" s="76"/>
      <c r="V8" s="76"/>
    </row>
    <row r="9" spans="1:22" ht="15">
      <c r="A9" s="83" t="s">
        <v>10993</v>
      </c>
      <c r="B9" s="76">
        <v>1</v>
      </c>
      <c r="C9" s="82" t="s">
        <v>11004</v>
      </c>
      <c r="D9" s="76">
        <v>1</v>
      </c>
      <c r="E9" s="76"/>
      <c r="F9" s="76"/>
      <c r="G9" s="76"/>
      <c r="H9" s="76"/>
      <c r="I9" s="76"/>
      <c r="J9" s="76"/>
      <c r="K9" s="76"/>
      <c r="L9" s="76"/>
      <c r="M9" s="76"/>
      <c r="N9" s="76"/>
      <c r="O9" s="76"/>
      <c r="P9" s="76"/>
      <c r="Q9" s="76"/>
      <c r="R9" s="76"/>
      <c r="S9" s="76"/>
      <c r="T9" s="76"/>
      <c r="U9" s="76"/>
      <c r="V9" s="76"/>
    </row>
    <row r="10" spans="1:22" ht="15">
      <c r="A10" s="83" t="s">
        <v>10994</v>
      </c>
      <c r="B10" s="76">
        <v>1</v>
      </c>
      <c r="C10" s="82" t="s">
        <v>11005</v>
      </c>
      <c r="D10" s="76">
        <v>1</v>
      </c>
      <c r="E10" s="76"/>
      <c r="F10" s="76"/>
      <c r="G10" s="76"/>
      <c r="H10" s="76"/>
      <c r="I10" s="76"/>
      <c r="J10" s="76"/>
      <c r="K10" s="76"/>
      <c r="L10" s="76"/>
      <c r="M10" s="76"/>
      <c r="N10" s="76"/>
      <c r="O10" s="76"/>
      <c r="P10" s="76"/>
      <c r="Q10" s="76"/>
      <c r="R10" s="76"/>
      <c r="S10" s="76"/>
      <c r="T10" s="76"/>
      <c r="U10" s="76"/>
      <c r="V10" s="76"/>
    </row>
    <row r="11" spans="1:22" ht="15">
      <c r="A11" s="83" t="s">
        <v>10995</v>
      </c>
      <c r="B11" s="76">
        <v>1</v>
      </c>
      <c r="C11" s="82" t="s">
        <v>10995</v>
      </c>
      <c r="D11" s="76">
        <v>1</v>
      </c>
      <c r="E11" s="76"/>
      <c r="F11" s="76"/>
      <c r="G11" s="76"/>
      <c r="H11" s="76"/>
      <c r="I11" s="76"/>
      <c r="J11" s="76"/>
      <c r="K11" s="76"/>
      <c r="L11" s="76"/>
      <c r="M11" s="76"/>
      <c r="N11" s="76"/>
      <c r="O11" s="76"/>
      <c r="P11" s="76"/>
      <c r="Q11" s="76"/>
      <c r="R11" s="76"/>
      <c r="S11" s="76"/>
      <c r="T11" s="76"/>
      <c r="U11" s="76"/>
      <c r="V11" s="76"/>
    </row>
    <row r="14" spans="1:22" ht="15" customHeight="1">
      <c r="A14" s="7" t="s">
        <v>11038</v>
      </c>
      <c r="B14" s="7" t="s">
        <v>10996</v>
      </c>
      <c r="C14" s="7" t="s">
        <v>11039</v>
      </c>
      <c r="D14" s="7" t="s">
        <v>11007</v>
      </c>
      <c r="E14" s="7" t="s">
        <v>11040</v>
      </c>
      <c r="F14" s="7" t="s">
        <v>11010</v>
      </c>
      <c r="G14" s="7" t="s">
        <v>11041</v>
      </c>
      <c r="H14" s="7" t="s">
        <v>11013</v>
      </c>
      <c r="I14" s="76" t="s">
        <v>11042</v>
      </c>
      <c r="J14" s="76" t="s">
        <v>11015</v>
      </c>
      <c r="K14" s="76" t="s">
        <v>11043</v>
      </c>
      <c r="L14" s="76" t="s">
        <v>11017</v>
      </c>
      <c r="M14" s="76" t="s">
        <v>11044</v>
      </c>
      <c r="N14" s="76" t="s">
        <v>11019</v>
      </c>
      <c r="O14" s="76" t="s">
        <v>11045</v>
      </c>
      <c r="P14" s="76" t="s">
        <v>11021</v>
      </c>
      <c r="Q14" s="76" t="s">
        <v>11046</v>
      </c>
      <c r="R14" s="76" t="s">
        <v>11023</v>
      </c>
      <c r="S14" s="76" t="s">
        <v>11047</v>
      </c>
      <c r="T14" s="76" t="s">
        <v>11025</v>
      </c>
      <c r="U14" s="76" t="s">
        <v>11048</v>
      </c>
      <c r="V14" s="76" t="s">
        <v>11026</v>
      </c>
    </row>
    <row r="15" spans="1:22" ht="15">
      <c r="A15" s="76" t="s">
        <v>610</v>
      </c>
      <c r="B15" s="76">
        <v>3</v>
      </c>
      <c r="C15" s="76" t="s">
        <v>610</v>
      </c>
      <c r="D15" s="76">
        <v>3</v>
      </c>
      <c r="E15" s="76" t="s">
        <v>615</v>
      </c>
      <c r="F15" s="76">
        <v>1</v>
      </c>
      <c r="G15" s="76" t="s">
        <v>608</v>
      </c>
      <c r="H15" s="76">
        <v>1</v>
      </c>
      <c r="I15" s="76"/>
      <c r="J15" s="76"/>
      <c r="K15" s="76"/>
      <c r="L15" s="76"/>
      <c r="M15" s="76"/>
      <c r="N15" s="76"/>
      <c r="O15" s="76"/>
      <c r="P15" s="76"/>
      <c r="Q15" s="76"/>
      <c r="R15" s="76"/>
      <c r="S15" s="76"/>
      <c r="T15" s="76"/>
      <c r="U15" s="76"/>
      <c r="V15" s="76"/>
    </row>
    <row r="16" spans="1:22" ht="15">
      <c r="A16" s="77" t="s">
        <v>616</v>
      </c>
      <c r="B16" s="76">
        <v>3</v>
      </c>
      <c r="C16" s="76" t="s">
        <v>616</v>
      </c>
      <c r="D16" s="76">
        <v>3</v>
      </c>
      <c r="E16" s="76" t="s">
        <v>612</v>
      </c>
      <c r="F16" s="76">
        <v>1</v>
      </c>
      <c r="G16" s="76"/>
      <c r="H16" s="76"/>
      <c r="I16" s="76"/>
      <c r="J16" s="76"/>
      <c r="K16" s="76"/>
      <c r="L16" s="76"/>
      <c r="M16" s="76"/>
      <c r="N16" s="76"/>
      <c r="O16" s="76"/>
      <c r="P16" s="76"/>
      <c r="Q16" s="76"/>
      <c r="R16" s="76"/>
      <c r="S16" s="76"/>
      <c r="T16" s="76"/>
      <c r="U16" s="76"/>
      <c r="V16" s="76"/>
    </row>
    <row r="17" spans="1:22" ht="15">
      <c r="A17" s="77" t="s">
        <v>606</v>
      </c>
      <c r="B17" s="76">
        <v>2</v>
      </c>
      <c r="C17" s="76" t="s">
        <v>606</v>
      </c>
      <c r="D17" s="76">
        <v>2</v>
      </c>
      <c r="E17" s="76"/>
      <c r="F17" s="76"/>
      <c r="G17" s="76"/>
      <c r="H17" s="76"/>
      <c r="I17" s="76"/>
      <c r="J17" s="76"/>
      <c r="K17" s="76"/>
      <c r="L17" s="76"/>
      <c r="M17" s="76"/>
      <c r="N17" s="76"/>
      <c r="O17" s="76"/>
      <c r="P17" s="76"/>
      <c r="Q17" s="76"/>
      <c r="R17" s="76"/>
      <c r="S17" s="76"/>
      <c r="T17" s="76"/>
      <c r="U17" s="76"/>
      <c r="V17" s="76"/>
    </row>
    <row r="18" spans="1:22" ht="15">
      <c r="A18" s="77" t="s">
        <v>608</v>
      </c>
      <c r="B18" s="76">
        <v>2</v>
      </c>
      <c r="C18" s="76" t="s">
        <v>599</v>
      </c>
      <c r="D18" s="76">
        <v>1</v>
      </c>
      <c r="E18" s="76"/>
      <c r="F18" s="76"/>
      <c r="G18" s="76"/>
      <c r="H18" s="76"/>
      <c r="I18" s="76"/>
      <c r="J18" s="76"/>
      <c r="K18" s="76"/>
      <c r="L18" s="76"/>
      <c r="M18" s="76"/>
      <c r="N18" s="76"/>
      <c r="O18" s="76"/>
      <c r="P18" s="76"/>
      <c r="Q18" s="76"/>
      <c r="R18" s="76"/>
      <c r="S18" s="76"/>
      <c r="T18" s="76"/>
      <c r="U18" s="76"/>
      <c r="V18" s="76"/>
    </row>
    <row r="19" spans="1:22" ht="15">
      <c r="A19" s="77" t="s">
        <v>619</v>
      </c>
      <c r="B19" s="76">
        <v>1</v>
      </c>
      <c r="C19" s="76" t="s">
        <v>598</v>
      </c>
      <c r="D19" s="76">
        <v>1</v>
      </c>
      <c r="E19" s="76"/>
      <c r="F19" s="76"/>
      <c r="G19" s="76"/>
      <c r="H19" s="76"/>
      <c r="I19" s="76"/>
      <c r="J19" s="76"/>
      <c r="K19" s="76"/>
      <c r="L19" s="76"/>
      <c r="M19" s="76"/>
      <c r="N19" s="76"/>
      <c r="O19" s="76"/>
      <c r="P19" s="76"/>
      <c r="Q19" s="76"/>
      <c r="R19" s="76"/>
      <c r="S19" s="76"/>
      <c r="T19" s="76"/>
      <c r="U19" s="76"/>
      <c r="V19" s="76"/>
    </row>
    <row r="20" spans="1:22" ht="15">
      <c r="A20" s="77" t="s">
        <v>617</v>
      </c>
      <c r="B20" s="76">
        <v>1</v>
      </c>
      <c r="C20" s="76" t="s">
        <v>601</v>
      </c>
      <c r="D20" s="76">
        <v>1</v>
      </c>
      <c r="E20" s="76"/>
      <c r="F20" s="76"/>
      <c r="G20" s="76"/>
      <c r="H20" s="76"/>
      <c r="I20" s="76"/>
      <c r="J20" s="76"/>
      <c r="K20" s="76"/>
      <c r="L20" s="76"/>
      <c r="M20" s="76"/>
      <c r="N20" s="76"/>
      <c r="O20" s="76"/>
      <c r="P20" s="76"/>
      <c r="Q20" s="76"/>
      <c r="R20" s="76"/>
      <c r="S20" s="76"/>
      <c r="T20" s="76"/>
      <c r="U20" s="76"/>
      <c r="V20" s="76"/>
    </row>
    <row r="21" spans="1:22" ht="15">
      <c r="A21" s="77" t="s">
        <v>615</v>
      </c>
      <c r="B21" s="76">
        <v>1</v>
      </c>
      <c r="C21" s="76" t="s">
        <v>604</v>
      </c>
      <c r="D21" s="76">
        <v>1</v>
      </c>
      <c r="E21" s="76"/>
      <c r="F21" s="76"/>
      <c r="G21" s="76"/>
      <c r="H21" s="76"/>
      <c r="I21" s="76"/>
      <c r="J21" s="76"/>
      <c r="K21" s="76"/>
      <c r="L21" s="76"/>
      <c r="M21" s="76"/>
      <c r="N21" s="76"/>
      <c r="O21" s="76"/>
      <c r="P21" s="76"/>
      <c r="Q21" s="76"/>
      <c r="R21" s="76"/>
      <c r="S21" s="76"/>
      <c r="T21" s="76"/>
      <c r="U21" s="76"/>
      <c r="V21" s="76"/>
    </row>
    <row r="22" spans="1:22" ht="15">
      <c r="A22" s="77" t="s">
        <v>614</v>
      </c>
      <c r="B22" s="76">
        <v>1</v>
      </c>
      <c r="C22" s="76" t="s">
        <v>605</v>
      </c>
      <c r="D22" s="76">
        <v>1</v>
      </c>
      <c r="E22" s="76"/>
      <c r="F22" s="76"/>
      <c r="G22" s="76"/>
      <c r="H22" s="76"/>
      <c r="I22" s="76"/>
      <c r="J22" s="76"/>
      <c r="K22" s="76"/>
      <c r="L22" s="76"/>
      <c r="M22" s="76"/>
      <c r="N22" s="76"/>
      <c r="O22" s="76"/>
      <c r="P22" s="76"/>
      <c r="Q22" s="76"/>
      <c r="R22" s="76"/>
      <c r="S22" s="76"/>
      <c r="T22" s="76"/>
      <c r="U22" s="76"/>
      <c r="V22" s="76"/>
    </row>
    <row r="23" spans="1:22" ht="15">
      <c r="A23" s="77" t="s">
        <v>613</v>
      </c>
      <c r="B23" s="76">
        <v>1</v>
      </c>
      <c r="C23" s="76" t="s">
        <v>609</v>
      </c>
      <c r="D23" s="76">
        <v>1</v>
      </c>
      <c r="E23" s="76"/>
      <c r="F23" s="76"/>
      <c r="G23" s="76"/>
      <c r="H23" s="76"/>
      <c r="I23" s="76"/>
      <c r="J23" s="76"/>
      <c r="K23" s="76"/>
      <c r="L23" s="76"/>
      <c r="M23" s="76"/>
      <c r="N23" s="76"/>
      <c r="O23" s="76"/>
      <c r="P23" s="76"/>
      <c r="Q23" s="76"/>
      <c r="R23" s="76"/>
      <c r="S23" s="76"/>
      <c r="T23" s="76"/>
      <c r="U23" s="76"/>
      <c r="V23" s="76"/>
    </row>
    <row r="24" spans="1:22" ht="15">
      <c r="A24" s="77" t="s">
        <v>611</v>
      </c>
      <c r="B24" s="76">
        <v>1</v>
      </c>
      <c r="C24" s="76" t="s">
        <v>608</v>
      </c>
      <c r="D24" s="76">
        <v>1</v>
      </c>
      <c r="E24" s="76"/>
      <c r="F24" s="76"/>
      <c r="G24" s="76"/>
      <c r="H24" s="76"/>
      <c r="I24" s="76"/>
      <c r="J24" s="76"/>
      <c r="K24" s="76"/>
      <c r="L24" s="76"/>
      <c r="M24" s="76"/>
      <c r="N24" s="76"/>
      <c r="O24" s="76"/>
      <c r="P24" s="76"/>
      <c r="Q24" s="76"/>
      <c r="R24" s="76"/>
      <c r="S24" s="76"/>
      <c r="T24" s="76"/>
      <c r="U24" s="76"/>
      <c r="V24" s="76"/>
    </row>
    <row r="27" spans="1:22" ht="15" customHeight="1">
      <c r="A27" s="7" t="s">
        <v>11052</v>
      </c>
      <c r="B27" s="7" t="s">
        <v>10996</v>
      </c>
      <c r="C27" s="7" t="s">
        <v>11053</v>
      </c>
      <c r="D27" s="7" t="s">
        <v>11007</v>
      </c>
      <c r="E27" s="7" t="s">
        <v>11054</v>
      </c>
      <c r="F27" s="7" t="s">
        <v>11010</v>
      </c>
      <c r="G27" s="76" t="s">
        <v>11055</v>
      </c>
      <c r="H27" s="76" t="s">
        <v>11013</v>
      </c>
      <c r="I27" s="76" t="s">
        <v>11056</v>
      </c>
      <c r="J27" s="76" t="s">
        <v>11015</v>
      </c>
      <c r="K27" s="76" t="s">
        <v>11057</v>
      </c>
      <c r="L27" s="76" t="s">
        <v>11017</v>
      </c>
      <c r="M27" s="76" t="s">
        <v>11058</v>
      </c>
      <c r="N27" s="76" t="s">
        <v>11019</v>
      </c>
      <c r="O27" s="76" t="s">
        <v>11059</v>
      </c>
      <c r="P27" s="76" t="s">
        <v>11021</v>
      </c>
      <c r="Q27" s="76" t="s">
        <v>11060</v>
      </c>
      <c r="R27" s="76" t="s">
        <v>11023</v>
      </c>
      <c r="S27" s="76" t="s">
        <v>11061</v>
      </c>
      <c r="T27" s="76" t="s">
        <v>11025</v>
      </c>
      <c r="U27" s="76" t="s">
        <v>11062</v>
      </c>
      <c r="V27" s="76" t="s">
        <v>11026</v>
      </c>
    </row>
    <row r="28" spans="1:22" ht="15">
      <c r="A28" s="76" t="s">
        <v>3223</v>
      </c>
      <c r="B28" s="76">
        <v>2</v>
      </c>
      <c r="C28" s="76" t="s">
        <v>582</v>
      </c>
      <c r="D28" s="76">
        <v>1</v>
      </c>
      <c r="E28" s="76" t="s">
        <v>3223</v>
      </c>
      <c r="F28" s="76">
        <v>1</v>
      </c>
      <c r="G28" s="76"/>
      <c r="H28" s="76"/>
      <c r="I28" s="76"/>
      <c r="J28" s="76"/>
      <c r="K28" s="76"/>
      <c r="L28" s="76"/>
      <c r="M28" s="76"/>
      <c r="N28" s="76"/>
      <c r="O28" s="76"/>
      <c r="P28" s="76"/>
      <c r="Q28" s="76"/>
      <c r="R28" s="76"/>
      <c r="S28" s="76"/>
      <c r="T28" s="76"/>
      <c r="U28" s="76"/>
      <c r="V28" s="76"/>
    </row>
    <row r="29" spans="1:22" ht="15">
      <c r="A29" s="77" t="s">
        <v>3224</v>
      </c>
      <c r="B29" s="76">
        <v>2</v>
      </c>
      <c r="C29" s="76" t="s">
        <v>3117</v>
      </c>
      <c r="D29" s="76">
        <v>1</v>
      </c>
      <c r="E29" s="76" t="s">
        <v>3224</v>
      </c>
      <c r="F29" s="76">
        <v>1</v>
      </c>
      <c r="G29" s="76"/>
      <c r="H29" s="76"/>
      <c r="I29" s="76"/>
      <c r="J29" s="76"/>
      <c r="K29" s="76"/>
      <c r="L29" s="76"/>
      <c r="M29" s="76"/>
      <c r="N29" s="76"/>
      <c r="O29" s="76"/>
      <c r="P29" s="76"/>
      <c r="Q29" s="76"/>
      <c r="R29" s="76"/>
      <c r="S29" s="76"/>
      <c r="T29" s="76"/>
      <c r="U29" s="76"/>
      <c r="V29" s="76"/>
    </row>
    <row r="30" spans="1:22" ht="15">
      <c r="A30" s="77" t="s">
        <v>595</v>
      </c>
      <c r="B30" s="76">
        <v>1</v>
      </c>
      <c r="C30" s="76" t="s">
        <v>3116</v>
      </c>
      <c r="D30" s="76">
        <v>1</v>
      </c>
      <c r="E30" s="76" t="s">
        <v>416</v>
      </c>
      <c r="F30" s="76">
        <v>1</v>
      </c>
      <c r="G30" s="76"/>
      <c r="H30" s="76"/>
      <c r="I30" s="76"/>
      <c r="J30" s="76"/>
      <c r="K30" s="76"/>
      <c r="L30" s="76"/>
      <c r="M30" s="76"/>
      <c r="N30" s="76"/>
      <c r="O30" s="76"/>
      <c r="P30" s="76"/>
      <c r="Q30" s="76"/>
      <c r="R30" s="76"/>
      <c r="S30" s="76"/>
      <c r="T30" s="76"/>
      <c r="U30" s="76"/>
      <c r="V30" s="76"/>
    </row>
    <row r="31" spans="1:22" ht="15">
      <c r="A31" s="77" t="s">
        <v>416</v>
      </c>
      <c r="B31" s="76">
        <v>1</v>
      </c>
      <c r="C31" s="76" t="s">
        <v>3115</v>
      </c>
      <c r="D31" s="76">
        <v>1</v>
      </c>
      <c r="E31" s="76"/>
      <c r="F31" s="76"/>
      <c r="G31" s="76"/>
      <c r="H31" s="76"/>
      <c r="I31" s="76"/>
      <c r="J31" s="76"/>
      <c r="K31" s="76"/>
      <c r="L31" s="76"/>
      <c r="M31" s="76"/>
      <c r="N31" s="76"/>
      <c r="O31" s="76"/>
      <c r="P31" s="76"/>
      <c r="Q31" s="76"/>
      <c r="R31" s="76"/>
      <c r="S31" s="76"/>
      <c r="T31" s="76"/>
      <c r="U31" s="76"/>
      <c r="V31" s="76"/>
    </row>
    <row r="32" spans="1:22" ht="15">
      <c r="A32" s="77" t="s">
        <v>3382</v>
      </c>
      <c r="B32" s="76">
        <v>1</v>
      </c>
      <c r="C32" s="76" t="s">
        <v>3114</v>
      </c>
      <c r="D32" s="76">
        <v>1</v>
      </c>
      <c r="E32" s="76"/>
      <c r="F32" s="76"/>
      <c r="G32" s="76"/>
      <c r="H32" s="76"/>
      <c r="I32" s="76"/>
      <c r="J32" s="76"/>
      <c r="K32" s="76"/>
      <c r="L32" s="76"/>
      <c r="M32" s="76"/>
      <c r="N32" s="76"/>
      <c r="O32" s="76"/>
      <c r="P32" s="76"/>
      <c r="Q32" s="76"/>
      <c r="R32" s="76"/>
      <c r="S32" s="76"/>
      <c r="T32" s="76"/>
      <c r="U32" s="76"/>
      <c r="V32" s="76"/>
    </row>
    <row r="33" spans="1:22" ht="15">
      <c r="A33" s="77" t="s">
        <v>3381</v>
      </c>
      <c r="B33" s="76">
        <v>1</v>
      </c>
      <c r="C33" s="76" t="s">
        <v>3113</v>
      </c>
      <c r="D33" s="76">
        <v>1</v>
      </c>
      <c r="E33" s="76"/>
      <c r="F33" s="76"/>
      <c r="G33" s="76"/>
      <c r="H33" s="76"/>
      <c r="I33" s="76"/>
      <c r="J33" s="76"/>
      <c r="K33" s="76"/>
      <c r="L33" s="76"/>
      <c r="M33" s="76"/>
      <c r="N33" s="76"/>
      <c r="O33" s="76"/>
      <c r="P33" s="76"/>
      <c r="Q33" s="76"/>
      <c r="R33" s="76"/>
      <c r="S33" s="76"/>
      <c r="T33" s="76"/>
      <c r="U33" s="76"/>
      <c r="V33" s="76"/>
    </row>
    <row r="34" spans="1:22" ht="15">
      <c r="A34" s="77" t="s">
        <v>3759</v>
      </c>
      <c r="B34" s="76">
        <v>1</v>
      </c>
      <c r="C34" s="76" t="s">
        <v>3112</v>
      </c>
      <c r="D34" s="76">
        <v>1</v>
      </c>
      <c r="E34" s="76"/>
      <c r="F34" s="76"/>
      <c r="G34" s="76"/>
      <c r="H34" s="76"/>
      <c r="I34" s="76"/>
      <c r="J34" s="76"/>
      <c r="K34" s="76"/>
      <c r="L34" s="76"/>
      <c r="M34" s="76"/>
      <c r="N34" s="76"/>
      <c r="O34" s="76"/>
      <c r="P34" s="76"/>
      <c r="Q34" s="76"/>
      <c r="R34" s="76"/>
      <c r="S34" s="76"/>
      <c r="T34" s="76"/>
      <c r="U34" s="76"/>
      <c r="V34" s="76"/>
    </row>
    <row r="35" spans="1:22" ht="15">
      <c r="A35" s="77" t="s">
        <v>3758</v>
      </c>
      <c r="B35" s="76">
        <v>1</v>
      </c>
      <c r="C35" s="76" t="s">
        <v>3111</v>
      </c>
      <c r="D35" s="76">
        <v>1</v>
      </c>
      <c r="E35" s="76"/>
      <c r="F35" s="76"/>
      <c r="G35" s="76"/>
      <c r="H35" s="76"/>
      <c r="I35" s="76"/>
      <c r="J35" s="76"/>
      <c r="K35" s="76"/>
      <c r="L35" s="76"/>
      <c r="M35" s="76"/>
      <c r="N35" s="76"/>
      <c r="O35" s="76"/>
      <c r="P35" s="76"/>
      <c r="Q35" s="76"/>
      <c r="R35" s="76"/>
      <c r="S35" s="76"/>
      <c r="T35" s="76"/>
      <c r="U35" s="76"/>
      <c r="V35" s="76"/>
    </row>
    <row r="36" spans="1:22" ht="15">
      <c r="A36" s="77" t="s">
        <v>3757</v>
      </c>
      <c r="B36" s="76">
        <v>1</v>
      </c>
      <c r="C36" s="76" t="s">
        <v>3256</v>
      </c>
      <c r="D36" s="76">
        <v>1</v>
      </c>
      <c r="E36" s="76"/>
      <c r="F36" s="76"/>
      <c r="G36" s="76"/>
      <c r="H36" s="76"/>
      <c r="I36" s="76"/>
      <c r="J36" s="76"/>
      <c r="K36" s="76"/>
      <c r="L36" s="76"/>
      <c r="M36" s="76"/>
      <c r="N36" s="76"/>
      <c r="O36" s="76"/>
      <c r="P36" s="76"/>
      <c r="Q36" s="76"/>
      <c r="R36" s="76"/>
      <c r="S36" s="76"/>
      <c r="T36" s="76"/>
      <c r="U36" s="76"/>
      <c r="V36" s="76"/>
    </row>
    <row r="37" spans="1:22" ht="15">
      <c r="A37" s="77" t="s">
        <v>592</v>
      </c>
      <c r="B37" s="76">
        <v>1</v>
      </c>
      <c r="C37" s="76" t="s">
        <v>3248</v>
      </c>
      <c r="D37" s="76">
        <v>1</v>
      </c>
      <c r="E37" s="76"/>
      <c r="F37" s="76"/>
      <c r="G37" s="76"/>
      <c r="H37" s="76"/>
      <c r="I37" s="76"/>
      <c r="J37" s="76"/>
      <c r="K37" s="76"/>
      <c r="L37" s="76"/>
      <c r="M37" s="76"/>
      <c r="N37" s="76"/>
      <c r="O37" s="76"/>
      <c r="P37" s="76"/>
      <c r="Q37" s="76"/>
      <c r="R37" s="76"/>
      <c r="S37" s="76"/>
      <c r="T37" s="76"/>
      <c r="U37" s="76"/>
      <c r="V37" s="76"/>
    </row>
    <row r="40" spans="1:22" ht="15" customHeight="1">
      <c r="A40" s="7" t="s">
        <v>11066</v>
      </c>
      <c r="B40" s="7" t="s">
        <v>10996</v>
      </c>
      <c r="C40" s="7" t="s">
        <v>11067</v>
      </c>
      <c r="D40" s="7" t="s">
        <v>11007</v>
      </c>
      <c r="E40" s="7" t="s">
        <v>11068</v>
      </c>
      <c r="F40" s="7" t="s">
        <v>11010</v>
      </c>
      <c r="G40" s="7" t="s">
        <v>11069</v>
      </c>
      <c r="H40" s="7" t="s">
        <v>11013</v>
      </c>
      <c r="I40" s="7" t="s">
        <v>11070</v>
      </c>
      <c r="J40" s="7" t="s">
        <v>11015</v>
      </c>
      <c r="K40" s="76" t="s">
        <v>11071</v>
      </c>
      <c r="L40" s="76" t="s">
        <v>11017</v>
      </c>
      <c r="M40" s="7" t="s">
        <v>11072</v>
      </c>
      <c r="N40" s="7" t="s">
        <v>11019</v>
      </c>
      <c r="O40" s="7" t="s">
        <v>11073</v>
      </c>
      <c r="P40" s="7" t="s">
        <v>11021</v>
      </c>
      <c r="Q40" s="7" t="s">
        <v>11074</v>
      </c>
      <c r="R40" s="7" t="s">
        <v>11023</v>
      </c>
      <c r="S40" s="7" t="s">
        <v>11075</v>
      </c>
      <c r="T40" s="7" t="s">
        <v>11025</v>
      </c>
      <c r="U40" s="76" t="s">
        <v>11076</v>
      </c>
      <c r="V40" s="76" t="s">
        <v>11026</v>
      </c>
    </row>
    <row r="41" spans="1:22" ht="15">
      <c r="A41" s="80" t="s">
        <v>2438</v>
      </c>
      <c r="B41" s="80">
        <v>128</v>
      </c>
      <c r="C41" s="80" t="s">
        <v>2438</v>
      </c>
      <c r="D41" s="80">
        <v>43</v>
      </c>
      <c r="E41" s="80" t="s">
        <v>2438</v>
      </c>
      <c r="F41" s="80">
        <v>11</v>
      </c>
      <c r="G41" s="80" t="s">
        <v>2448</v>
      </c>
      <c r="H41" s="80">
        <v>5</v>
      </c>
      <c r="I41" s="80" t="s">
        <v>2438</v>
      </c>
      <c r="J41" s="80">
        <v>3</v>
      </c>
      <c r="K41" s="80"/>
      <c r="L41" s="80"/>
      <c r="M41" s="80" t="s">
        <v>2440</v>
      </c>
      <c r="N41" s="80">
        <v>2</v>
      </c>
      <c r="O41" s="80" t="s">
        <v>2776</v>
      </c>
      <c r="P41" s="80">
        <v>2</v>
      </c>
      <c r="Q41" s="80" t="s">
        <v>435</v>
      </c>
      <c r="R41" s="80">
        <v>2</v>
      </c>
      <c r="S41" s="80" t="s">
        <v>2488</v>
      </c>
      <c r="T41" s="80">
        <v>2</v>
      </c>
      <c r="U41" s="80"/>
      <c r="V41" s="80"/>
    </row>
    <row r="42" spans="1:22" ht="15">
      <c r="A42" s="81" t="s">
        <v>2439</v>
      </c>
      <c r="B42" s="80">
        <v>47</v>
      </c>
      <c r="C42" s="80" t="s">
        <v>2439</v>
      </c>
      <c r="D42" s="80">
        <v>22</v>
      </c>
      <c r="E42" s="80" t="s">
        <v>2489</v>
      </c>
      <c r="F42" s="80">
        <v>5</v>
      </c>
      <c r="G42" s="80" t="s">
        <v>2438</v>
      </c>
      <c r="H42" s="80">
        <v>5</v>
      </c>
      <c r="I42" s="80" t="s">
        <v>2682</v>
      </c>
      <c r="J42" s="80">
        <v>2</v>
      </c>
      <c r="K42" s="80"/>
      <c r="L42" s="80"/>
      <c r="M42" s="80"/>
      <c r="N42" s="80"/>
      <c r="O42" s="80" t="s">
        <v>2621</v>
      </c>
      <c r="P42" s="80">
        <v>2</v>
      </c>
      <c r="Q42" s="80"/>
      <c r="R42" s="80"/>
      <c r="S42" s="80"/>
      <c r="T42" s="80"/>
      <c r="U42" s="80"/>
      <c r="V42" s="80"/>
    </row>
    <row r="43" spans="1:22" ht="15">
      <c r="A43" s="81" t="s">
        <v>2440</v>
      </c>
      <c r="B43" s="80">
        <v>17</v>
      </c>
      <c r="C43" s="80" t="s">
        <v>2443</v>
      </c>
      <c r="D43" s="80">
        <v>11</v>
      </c>
      <c r="E43" s="80" t="s">
        <v>350</v>
      </c>
      <c r="F43" s="80">
        <v>5</v>
      </c>
      <c r="G43" s="80" t="s">
        <v>2538</v>
      </c>
      <c r="H43" s="80">
        <v>3</v>
      </c>
      <c r="I43" s="80" t="s">
        <v>2490</v>
      </c>
      <c r="J43" s="80">
        <v>2</v>
      </c>
      <c r="K43" s="80"/>
      <c r="L43" s="80"/>
      <c r="M43" s="80"/>
      <c r="N43" s="80"/>
      <c r="O43" s="80"/>
      <c r="P43" s="80"/>
      <c r="Q43" s="80"/>
      <c r="R43" s="80"/>
      <c r="S43" s="80"/>
      <c r="T43" s="80"/>
      <c r="U43" s="80"/>
      <c r="V43" s="80"/>
    </row>
    <row r="44" spans="1:22" ht="15">
      <c r="A44" s="81" t="s">
        <v>2441</v>
      </c>
      <c r="B44" s="80">
        <v>16</v>
      </c>
      <c r="C44" s="80" t="s">
        <v>2441</v>
      </c>
      <c r="D44" s="80">
        <v>9</v>
      </c>
      <c r="E44" s="80" t="s">
        <v>2566</v>
      </c>
      <c r="F44" s="80">
        <v>3</v>
      </c>
      <c r="G44" s="80" t="s">
        <v>2440</v>
      </c>
      <c r="H44" s="80">
        <v>2</v>
      </c>
      <c r="I44" s="80" t="s">
        <v>2713</v>
      </c>
      <c r="J44" s="80">
        <v>2</v>
      </c>
      <c r="K44" s="80"/>
      <c r="L44" s="80"/>
      <c r="M44" s="80"/>
      <c r="N44" s="80"/>
      <c r="O44" s="80"/>
      <c r="P44" s="80"/>
      <c r="Q44" s="80"/>
      <c r="R44" s="80"/>
      <c r="S44" s="80"/>
      <c r="T44" s="80"/>
      <c r="U44" s="80"/>
      <c r="V44" s="80"/>
    </row>
    <row r="45" spans="1:22" ht="15">
      <c r="A45" s="81" t="s">
        <v>2442</v>
      </c>
      <c r="B45" s="80">
        <v>14</v>
      </c>
      <c r="C45" s="80" t="s">
        <v>2445</v>
      </c>
      <c r="D45" s="80">
        <v>6</v>
      </c>
      <c r="E45" s="80" t="s">
        <v>2440</v>
      </c>
      <c r="F45" s="80">
        <v>3</v>
      </c>
      <c r="G45" s="80" t="s">
        <v>2609</v>
      </c>
      <c r="H45" s="80">
        <v>2</v>
      </c>
      <c r="I45" s="80" t="s">
        <v>2461</v>
      </c>
      <c r="J45" s="80">
        <v>2</v>
      </c>
      <c r="K45" s="80"/>
      <c r="L45" s="80"/>
      <c r="M45" s="80"/>
      <c r="N45" s="80"/>
      <c r="O45" s="80"/>
      <c r="P45" s="80"/>
      <c r="Q45" s="80"/>
      <c r="R45" s="80"/>
      <c r="S45" s="80"/>
      <c r="T45" s="80"/>
      <c r="U45" s="80"/>
      <c r="V45" s="80"/>
    </row>
    <row r="46" spans="1:22" ht="15">
      <c r="A46" s="81" t="s">
        <v>2443</v>
      </c>
      <c r="B46" s="80">
        <v>13</v>
      </c>
      <c r="C46" s="80" t="s">
        <v>2470</v>
      </c>
      <c r="D46" s="80">
        <v>5</v>
      </c>
      <c r="E46" s="80" t="s">
        <v>2525</v>
      </c>
      <c r="F46" s="80">
        <v>3</v>
      </c>
      <c r="G46" s="80" t="s">
        <v>2524</v>
      </c>
      <c r="H46" s="80">
        <v>2</v>
      </c>
      <c r="I46" s="80" t="s">
        <v>2501</v>
      </c>
      <c r="J46" s="80">
        <v>2</v>
      </c>
      <c r="K46" s="80"/>
      <c r="L46" s="80"/>
      <c r="M46" s="80"/>
      <c r="N46" s="80"/>
      <c r="O46" s="80"/>
      <c r="P46" s="80"/>
      <c r="Q46" s="80"/>
      <c r="R46" s="80"/>
      <c r="S46" s="80"/>
      <c r="T46" s="80"/>
      <c r="U46" s="80"/>
      <c r="V46" s="80"/>
    </row>
    <row r="47" spans="1:22" ht="15">
      <c r="A47" s="81" t="s">
        <v>2444</v>
      </c>
      <c r="B47" s="80">
        <v>13</v>
      </c>
      <c r="C47" s="80" t="s">
        <v>2467</v>
      </c>
      <c r="D47" s="80">
        <v>5</v>
      </c>
      <c r="E47" s="80" t="s">
        <v>298</v>
      </c>
      <c r="F47" s="80">
        <v>2</v>
      </c>
      <c r="G47" s="80" t="s">
        <v>420</v>
      </c>
      <c r="H47" s="80">
        <v>2</v>
      </c>
      <c r="I47" s="80" t="s">
        <v>2604</v>
      </c>
      <c r="J47" s="80">
        <v>2</v>
      </c>
      <c r="K47" s="80"/>
      <c r="L47" s="80"/>
      <c r="M47" s="80"/>
      <c r="N47" s="80"/>
      <c r="O47" s="80"/>
      <c r="P47" s="80"/>
      <c r="Q47" s="80"/>
      <c r="R47" s="80"/>
      <c r="S47" s="80"/>
      <c r="T47" s="80"/>
      <c r="U47" s="80"/>
      <c r="V47" s="80"/>
    </row>
    <row r="48" spans="1:22" ht="15">
      <c r="A48" s="81" t="s">
        <v>2445</v>
      </c>
      <c r="B48" s="80">
        <v>12</v>
      </c>
      <c r="C48" s="80" t="s">
        <v>2508</v>
      </c>
      <c r="D48" s="80">
        <v>4</v>
      </c>
      <c r="E48" s="80" t="s">
        <v>376</v>
      </c>
      <c r="F48" s="80">
        <v>2</v>
      </c>
      <c r="G48" s="80" t="s">
        <v>2600</v>
      </c>
      <c r="H48" s="80">
        <v>2</v>
      </c>
      <c r="I48" s="80" t="s">
        <v>2758</v>
      </c>
      <c r="J48" s="80">
        <v>2</v>
      </c>
      <c r="K48" s="80"/>
      <c r="L48" s="80"/>
      <c r="M48" s="80"/>
      <c r="N48" s="80"/>
      <c r="O48" s="80"/>
      <c r="P48" s="80"/>
      <c r="Q48" s="80"/>
      <c r="R48" s="80"/>
      <c r="S48" s="80"/>
      <c r="T48" s="80"/>
      <c r="U48" s="80"/>
      <c r="V48" s="80"/>
    </row>
    <row r="49" spans="1:22" ht="15">
      <c r="A49" s="81" t="s">
        <v>2446</v>
      </c>
      <c r="B49" s="80">
        <v>11</v>
      </c>
      <c r="C49" s="80" t="s">
        <v>2446</v>
      </c>
      <c r="D49" s="80">
        <v>4</v>
      </c>
      <c r="E49" s="80" t="s">
        <v>2580</v>
      </c>
      <c r="F49" s="80">
        <v>2</v>
      </c>
      <c r="G49" s="80"/>
      <c r="H49" s="80"/>
      <c r="I49" s="80" t="s">
        <v>2760</v>
      </c>
      <c r="J49" s="80">
        <v>2</v>
      </c>
      <c r="K49" s="80"/>
      <c r="L49" s="80"/>
      <c r="M49" s="80"/>
      <c r="N49" s="80"/>
      <c r="O49" s="80"/>
      <c r="P49" s="80"/>
      <c r="Q49" s="80"/>
      <c r="R49" s="80"/>
      <c r="S49" s="80"/>
      <c r="T49" s="80"/>
      <c r="U49" s="80"/>
      <c r="V49" s="80"/>
    </row>
    <row r="50" spans="1:22" ht="15">
      <c r="A50" s="81" t="s">
        <v>2447</v>
      </c>
      <c r="B50" s="80">
        <v>10</v>
      </c>
      <c r="C50" s="80" t="s">
        <v>2460</v>
      </c>
      <c r="D50" s="80">
        <v>4</v>
      </c>
      <c r="E50" s="80" t="s">
        <v>363</v>
      </c>
      <c r="F50" s="80">
        <v>2</v>
      </c>
      <c r="G50" s="80"/>
      <c r="H50" s="80"/>
      <c r="I50" s="80"/>
      <c r="J50" s="80"/>
      <c r="K50" s="80"/>
      <c r="L50" s="80"/>
      <c r="M50" s="80"/>
      <c r="N50" s="80"/>
      <c r="O50" s="80"/>
      <c r="P50" s="80"/>
      <c r="Q50" s="80"/>
      <c r="R50" s="80"/>
      <c r="S50" s="80"/>
      <c r="T50" s="80"/>
      <c r="U50" s="80"/>
      <c r="V50" s="80"/>
    </row>
    <row r="53" spans="1:22" ht="15" customHeight="1">
      <c r="A53" s="7" t="s">
        <v>11102</v>
      </c>
      <c r="B53" s="7" t="s">
        <v>10996</v>
      </c>
      <c r="C53" s="7" t="s">
        <v>11113</v>
      </c>
      <c r="D53" s="7" t="s">
        <v>11007</v>
      </c>
      <c r="E53" s="7" t="s">
        <v>11119</v>
      </c>
      <c r="F53" s="7" t="s">
        <v>11010</v>
      </c>
      <c r="G53" s="7" t="s">
        <v>11124</v>
      </c>
      <c r="H53" s="7" t="s">
        <v>11013</v>
      </c>
      <c r="I53" s="7" t="s">
        <v>11128</v>
      </c>
      <c r="J53" s="7" t="s">
        <v>11015</v>
      </c>
      <c r="K53" s="76" t="s">
        <v>11130</v>
      </c>
      <c r="L53" s="76" t="s">
        <v>11017</v>
      </c>
      <c r="M53" s="76" t="s">
        <v>11131</v>
      </c>
      <c r="N53" s="76" t="s">
        <v>11019</v>
      </c>
      <c r="O53" s="76" t="s">
        <v>11132</v>
      </c>
      <c r="P53" s="76" t="s">
        <v>11021</v>
      </c>
      <c r="Q53" s="76" t="s">
        <v>11133</v>
      </c>
      <c r="R53" s="76" t="s">
        <v>11023</v>
      </c>
      <c r="S53" s="76" t="s">
        <v>11134</v>
      </c>
      <c r="T53" s="76" t="s">
        <v>11025</v>
      </c>
      <c r="U53" s="76" t="s">
        <v>11135</v>
      </c>
      <c r="V53" s="76" t="s">
        <v>11026</v>
      </c>
    </row>
    <row r="54" spans="1:22" ht="15">
      <c r="A54" s="80" t="s">
        <v>11103</v>
      </c>
      <c r="B54" s="80">
        <v>44</v>
      </c>
      <c r="C54" s="80" t="s">
        <v>11103</v>
      </c>
      <c r="D54" s="80">
        <v>20</v>
      </c>
      <c r="E54" s="80" t="s">
        <v>11120</v>
      </c>
      <c r="F54" s="80">
        <v>3</v>
      </c>
      <c r="G54" s="80" t="s">
        <v>11107</v>
      </c>
      <c r="H54" s="80">
        <v>3</v>
      </c>
      <c r="I54" s="80" t="s">
        <v>11129</v>
      </c>
      <c r="J54" s="80">
        <v>2</v>
      </c>
      <c r="K54" s="80"/>
      <c r="L54" s="80"/>
      <c r="M54" s="80"/>
      <c r="N54" s="80"/>
      <c r="O54" s="80"/>
      <c r="P54" s="80"/>
      <c r="Q54" s="80"/>
      <c r="R54" s="80"/>
      <c r="S54" s="80"/>
      <c r="T54" s="80"/>
      <c r="U54" s="80"/>
      <c r="V54" s="80"/>
    </row>
    <row r="55" spans="1:22" ht="15">
      <c r="A55" s="81" t="s">
        <v>11104</v>
      </c>
      <c r="B55" s="80">
        <v>7</v>
      </c>
      <c r="C55" s="80" t="s">
        <v>11114</v>
      </c>
      <c r="D55" s="80">
        <v>4</v>
      </c>
      <c r="E55" s="80" t="s">
        <v>11121</v>
      </c>
      <c r="F55" s="80">
        <v>2</v>
      </c>
      <c r="G55" s="80" t="s">
        <v>11125</v>
      </c>
      <c r="H55" s="80">
        <v>2</v>
      </c>
      <c r="I55" s="80"/>
      <c r="J55" s="80"/>
      <c r="K55" s="80"/>
      <c r="L55" s="80"/>
      <c r="M55" s="80"/>
      <c r="N55" s="80"/>
      <c r="O55" s="80"/>
      <c r="P55" s="80"/>
      <c r="Q55" s="80"/>
      <c r="R55" s="80"/>
      <c r="S55" s="80"/>
      <c r="T55" s="80"/>
      <c r="U55" s="80"/>
      <c r="V55" s="80"/>
    </row>
    <row r="56" spans="1:22" ht="15">
      <c r="A56" s="81" t="s">
        <v>11105</v>
      </c>
      <c r="B56" s="80">
        <v>7</v>
      </c>
      <c r="C56" s="80" t="s">
        <v>11111</v>
      </c>
      <c r="D56" s="80">
        <v>4</v>
      </c>
      <c r="E56" s="80" t="s">
        <v>11122</v>
      </c>
      <c r="F56" s="80">
        <v>2</v>
      </c>
      <c r="G56" s="80" t="s">
        <v>11126</v>
      </c>
      <c r="H56" s="80">
        <v>2</v>
      </c>
      <c r="I56" s="80"/>
      <c r="J56" s="80"/>
      <c r="K56" s="80"/>
      <c r="L56" s="80"/>
      <c r="M56" s="80"/>
      <c r="N56" s="80"/>
      <c r="O56" s="80"/>
      <c r="P56" s="80"/>
      <c r="Q56" s="80"/>
      <c r="R56" s="80"/>
      <c r="S56" s="80"/>
      <c r="T56" s="80"/>
      <c r="U56" s="80"/>
      <c r="V56" s="80"/>
    </row>
    <row r="57" spans="1:22" ht="15">
      <c r="A57" s="81" t="s">
        <v>11106</v>
      </c>
      <c r="B57" s="80">
        <v>7</v>
      </c>
      <c r="C57" s="80" t="s">
        <v>11112</v>
      </c>
      <c r="D57" s="80">
        <v>4</v>
      </c>
      <c r="E57" s="80" t="s">
        <v>11123</v>
      </c>
      <c r="F57" s="80">
        <v>2</v>
      </c>
      <c r="G57" s="80" t="s">
        <v>11127</v>
      </c>
      <c r="H57" s="80">
        <v>2</v>
      </c>
      <c r="I57" s="80"/>
      <c r="J57" s="80"/>
      <c r="K57" s="80"/>
      <c r="L57" s="80"/>
      <c r="M57" s="80"/>
      <c r="N57" s="80"/>
      <c r="O57" s="80"/>
      <c r="P57" s="80"/>
      <c r="Q57" s="80"/>
      <c r="R57" s="80"/>
      <c r="S57" s="80"/>
      <c r="T57" s="80"/>
      <c r="U57" s="80"/>
      <c r="V57" s="80"/>
    </row>
    <row r="58" spans="1:22" ht="15">
      <c r="A58" s="81" t="s">
        <v>11107</v>
      </c>
      <c r="B58" s="80">
        <v>5</v>
      </c>
      <c r="C58" s="80" t="s">
        <v>11108</v>
      </c>
      <c r="D58" s="80">
        <v>4</v>
      </c>
      <c r="E58" s="80"/>
      <c r="F58" s="80"/>
      <c r="G58" s="80"/>
      <c r="H58" s="80"/>
      <c r="I58" s="80"/>
      <c r="J58" s="80"/>
      <c r="K58" s="80"/>
      <c r="L58" s="80"/>
      <c r="M58" s="80"/>
      <c r="N58" s="80"/>
      <c r="O58" s="80"/>
      <c r="P58" s="80"/>
      <c r="Q58" s="80"/>
      <c r="R58" s="80"/>
      <c r="S58" s="80"/>
      <c r="T58" s="80"/>
      <c r="U58" s="80"/>
      <c r="V58" s="80"/>
    </row>
    <row r="59" spans="1:22" ht="15">
      <c r="A59" s="81" t="s">
        <v>11108</v>
      </c>
      <c r="B59" s="80">
        <v>5</v>
      </c>
      <c r="C59" s="80" t="s">
        <v>11115</v>
      </c>
      <c r="D59" s="80">
        <v>3</v>
      </c>
      <c r="E59" s="80"/>
      <c r="F59" s="80"/>
      <c r="G59" s="80"/>
      <c r="H59" s="80"/>
      <c r="I59" s="80"/>
      <c r="J59" s="80"/>
      <c r="K59" s="80"/>
      <c r="L59" s="80"/>
      <c r="M59" s="80"/>
      <c r="N59" s="80"/>
      <c r="O59" s="80"/>
      <c r="P59" s="80"/>
      <c r="Q59" s="80"/>
      <c r="R59" s="80"/>
      <c r="S59" s="80"/>
      <c r="T59" s="80"/>
      <c r="U59" s="80"/>
      <c r="V59" s="80"/>
    </row>
    <row r="60" spans="1:22" ht="15">
      <c r="A60" s="81" t="s">
        <v>11109</v>
      </c>
      <c r="B60" s="80">
        <v>5</v>
      </c>
      <c r="C60" s="80" t="s">
        <v>11116</v>
      </c>
      <c r="D60" s="80">
        <v>3</v>
      </c>
      <c r="E60" s="80"/>
      <c r="F60" s="80"/>
      <c r="G60" s="80"/>
      <c r="H60" s="80"/>
      <c r="I60" s="80"/>
      <c r="J60" s="80"/>
      <c r="K60" s="80"/>
      <c r="L60" s="80"/>
      <c r="M60" s="80"/>
      <c r="N60" s="80"/>
      <c r="O60" s="80"/>
      <c r="P60" s="80"/>
      <c r="Q60" s="80"/>
      <c r="R60" s="80"/>
      <c r="S60" s="80"/>
      <c r="T60" s="80"/>
      <c r="U60" s="80"/>
      <c r="V60" s="80"/>
    </row>
    <row r="61" spans="1:22" ht="15">
      <c r="A61" s="81" t="s">
        <v>11110</v>
      </c>
      <c r="B61" s="80">
        <v>5</v>
      </c>
      <c r="C61" s="80" t="s">
        <v>11110</v>
      </c>
      <c r="D61" s="80">
        <v>3</v>
      </c>
      <c r="E61" s="80"/>
      <c r="F61" s="80"/>
      <c r="G61" s="80"/>
      <c r="H61" s="80"/>
      <c r="I61" s="80"/>
      <c r="J61" s="80"/>
      <c r="K61" s="80"/>
      <c r="L61" s="80"/>
      <c r="M61" s="80"/>
      <c r="N61" s="80"/>
      <c r="O61" s="80"/>
      <c r="P61" s="80"/>
      <c r="Q61" s="80"/>
      <c r="R61" s="80"/>
      <c r="S61" s="80"/>
      <c r="T61" s="80"/>
      <c r="U61" s="80"/>
      <c r="V61" s="80"/>
    </row>
    <row r="62" spans="1:22" ht="15">
      <c r="A62" s="81" t="s">
        <v>11111</v>
      </c>
      <c r="B62" s="80">
        <v>4</v>
      </c>
      <c r="C62" s="80" t="s">
        <v>11117</v>
      </c>
      <c r="D62" s="80">
        <v>3</v>
      </c>
      <c r="E62" s="80"/>
      <c r="F62" s="80"/>
      <c r="G62" s="80"/>
      <c r="H62" s="80"/>
      <c r="I62" s="80"/>
      <c r="J62" s="80"/>
      <c r="K62" s="80"/>
      <c r="L62" s="80"/>
      <c r="M62" s="80"/>
      <c r="N62" s="80"/>
      <c r="O62" s="80"/>
      <c r="P62" s="80"/>
      <c r="Q62" s="80"/>
      <c r="R62" s="80"/>
      <c r="S62" s="80"/>
      <c r="T62" s="80"/>
      <c r="U62" s="80"/>
      <c r="V62" s="80"/>
    </row>
    <row r="63" spans="1:22" ht="15">
      <c r="A63" s="81" t="s">
        <v>11112</v>
      </c>
      <c r="B63" s="80">
        <v>4</v>
      </c>
      <c r="C63" s="80" t="s">
        <v>11118</v>
      </c>
      <c r="D63" s="80">
        <v>3</v>
      </c>
      <c r="E63" s="80"/>
      <c r="F63" s="80"/>
      <c r="G63" s="80"/>
      <c r="H63" s="80"/>
      <c r="I63" s="80"/>
      <c r="J63" s="80"/>
      <c r="K63" s="80"/>
      <c r="L63" s="80"/>
      <c r="M63" s="80"/>
      <c r="N63" s="80"/>
      <c r="O63" s="80"/>
      <c r="P63" s="80"/>
      <c r="Q63" s="80"/>
      <c r="R63" s="80"/>
      <c r="S63" s="80"/>
      <c r="T63" s="80"/>
      <c r="U63" s="80"/>
      <c r="V63" s="80"/>
    </row>
    <row r="66" spans="1:22" ht="15" customHeight="1">
      <c r="A66" s="7" t="s">
        <v>11144</v>
      </c>
      <c r="B66" s="7" t="s">
        <v>10996</v>
      </c>
      <c r="C66" s="7" t="s">
        <v>11146</v>
      </c>
      <c r="D66" s="7" t="s">
        <v>11007</v>
      </c>
      <c r="E66" s="7" t="s">
        <v>11147</v>
      </c>
      <c r="F66" s="7" t="s">
        <v>11010</v>
      </c>
      <c r="G66" s="7" t="s">
        <v>11150</v>
      </c>
      <c r="H66" s="7" t="s">
        <v>11013</v>
      </c>
      <c r="I66" s="7" t="s">
        <v>11152</v>
      </c>
      <c r="J66" s="7" t="s">
        <v>11015</v>
      </c>
      <c r="K66" s="7" t="s">
        <v>11154</v>
      </c>
      <c r="L66" s="7" t="s">
        <v>11017</v>
      </c>
      <c r="M66" s="7" t="s">
        <v>11156</v>
      </c>
      <c r="N66" s="7" t="s">
        <v>11019</v>
      </c>
      <c r="O66" s="7" t="s">
        <v>11158</v>
      </c>
      <c r="P66" s="7" t="s">
        <v>11021</v>
      </c>
      <c r="Q66" s="7" t="s">
        <v>11160</v>
      </c>
      <c r="R66" s="7" t="s">
        <v>11023</v>
      </c>
      <c r="S66" s="7" t="s">
        <v>11162</v>
      </c>
      <c r="T66" s="7" t="s">
        <v>11025</v>
      </c>
      <c r="U66" s="7" t="s">
        <v>11164</v>
      </c>
      <c r="V66" s="7" t="s">
        <v>11026</v>
      </c>
    </row>
    <row r="67" spans="1:22" ht="15">
      <c r="A67" s="76" t="s">
        <v>350</v>
      </c>
      <c r="B67" s="76">
        <v>3</v>
      </c>
      <c r="C67" s="76" t="s">
        <v>3686</v>
      </c>
      <c r="D67" s="76">
        <v>1</v>
      </c>
      <c r="E67" s="76" t="s">
        <v>350</v>
      </c>
      <c r="F67" s="76">
        <v>3</v>
      </c>
      <c r="G67" s="76" t="s">
        <v>426</v>
      </c>
      <c r="H67" s="76">
        <v>1</v>
      </c>
      <c r="I67" s="76" t="s">
        <v>397</v>
      </c>
      <c r="J67" s="76">
        <v>1</v>
      </c>
      <c r="K67" s="76" t="s">
        <v>402</v>
      </c>
      <c r="L67" s="76">
        <v>1</v>
      </c>
      <c r="M67" s="76" t="s">
        <v>346</v>
      </c>
      <c r="N67" s="76">
        <v>1</v>
      </c>
      <c r="O67" s="76" t="s">
        <v>362</v>
      </c>
      <c r="P67" s="76">
        <v>1</v>
      </c>
      <c r="Q67" s="76" t="s">
        <v>435</v>
      </c>
      <c r="R67" s="76">
        <v>1</v>
      </c>
      <c r="S67" s="76" t="s">
        <v>374</v>
      </c>
      <c r="T67" s="76">
        <v>1</v>
      </c>
      <c r="U67" s="76" t="s">
        <v>353</v>
      </c>
      <c r="V67" s="76">
        <v>1</v>
      </c>
    </row>
    <row r="68" spans="1:22" ht="15">
      <c r="A68" s="77" t="s">
        <v>415</v>
      </c>
      <c r="B68" s="76">
        <v>2</v>
      </c>
      <c r="C68" s="76"/>
      <c r="D68" s="76"/>
      <c r="E68" s="76" t="s">
        <v>363</v>
      </c>
      <c r="F68" s="76">
        <v>2</v>
      </c>
      <c r="G68" s="76" t="s">
        <v>3171</v>
      </c>
      <c r="H68" s="76">
        <v>1</v>
      </c>
      <c r="I68" s="76" t="s">
        <v>394</v>
      </c>
      <c r="J68" s="76">
        <v>1</v>
      </c>
      <c r="K68" s="76"/>
      <c r="L68" s="76"/>
      <c r="M68" s="76"/>
      <c r="N68" s="76"/>
      <c r="O68" s="76"/>
      <c r="P68" s="76"/>
      <c r="Q68" s="76"/>
      <c r="R68" s="76"/>
      <c r="S68" s="76"/>
      <c r="T68" s="76"/>
      <c r="U68" s="76"/>
      <c r="V68" s="76"/>
    </row>
    <row r="69" spans="1:22" ht="15">
      <c r="A69" s="77" t="s">
        <v>363</v>
      </c>
      <c r="B69" s="76">
        <v>2</v>
      </c>
      <c r="C69" s="76"/>
      <c r="D69" s="76"/>
      <c r="E69" s="76" t="s">
        <v>416</v>
      </c>
      <c r="F69" s="76">
        <v>1</v>
      </c>
      <c r="G69" s="76" t="s">
        <v>422</v>
      </c>
      <c r="H69" s="76">
        <v>1</v>
      </c>
      <c r="I69" s="76" t="s">
        <v>396</v>
      </c>
      <c r="J69" s="76">
        <v>1</v>
      </c>
      <c r="K69" s="76"/>
      <c r="L69" s="76"/>
      <c r="M69" s="76"/>
      <c r="N69" s="76"/>
      <c r="O69" s="76"/>
      <c r="P69" s="76"/>
      <c r="Q69" s="76"/>
      <c r="R69" s="76"/>
      <c r="S69" s="76"/>
      <c r="T69" s="76"/>
      <c r="U69" s="76"/>
      <c r="V69" s="76"/>
    </row>
    <row r="70" spans="1:22" ht="15">
      <c r="A70" s="77" t="s">
        <v>435</v>
      </c>
      <c r="B70" s="76">
        <v>1</v>
      </c>
      <c r="C70" s="76"/>
      <c r="D70" s="76"/>
      <c r="E70" s="76" t="s">
        <v>304</v>
      </c>
      <c r="F70" s="76">
        <v>1</v>
      </c>
      <c r="G70" s="76" t="s">
        <v>425</v>
      </c>
      <c r="H70" s="76">
        <v>1</v>
      </c>
      <c r="I70" s="76"/>
      <c r="J70" s="76"/>
      <c r="K70" s="76"/>
      <c r="L70" s="76"/>
      <c r="M70" s="76"/>
      <c r="N70" s="76"/>
      <c r="O70" s="76"/>
      <c r="P70" s="76"/>
      <c r="Q70" s="76"/>
      <c r="R70" s="76"/>
      <c r="S70" s="76"/>
      <c r="T70" s="76"/>
      <c r="U70" s="76"/>
      <c r="V70" s="76"/>
    </row>
    <row r="71" spans="1:22" ht="15">
      <c r="A71" s="77" t="s">
        <v>432</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431</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429</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428</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427</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328</v>
      </c>
      <c r="B76" s="76">
        <v>1</v>
      </c>
      <c r="C76" s="76"/>
      <c r="D76" s="76"/>
      <c r="E76" s="76"/>
      <c r="F76" s="76"/>
      <c r="G76" s="76"/>
      <c r="H76" s="76"/>
      <c r="I76" s="76"/>
      <c r="J76" s="76"/>
      <c r="K76" s="76"/>
      <c r="L76" s="76"/>
      <c r="M76" s="76"/>
      <c r="N76" s="76"/>
      <c r="O76" s="76"/>
      <c r="P76" s="76"/>
      <c r="Q76" s="76"/>
      <c r="R76" s="76"/>
      <c r="S76" s="76"/>
      <c r="T76" s="76"/>
      <c r="U76" s="76"/>
      <c r="V76" s="76"/>
    </row>
    <row r="79" spans="1:22" ht="15" customHeight="1">
      <c r="A79" s="7" t="s">
        <v>11145</v>
      </c>
      <c r="B79" s="7" t="s">
        <v>10996</v>
      </c>
      <c r="C79" s="7" t="s">
        <v>11148</v>
      </c>
      <c r="D79" s="7" t="s">
        <v>11007</v>
      </c>
      <c r="E79" s="7" t="s">
        <v>11149</v>
      </c>
      <c r="F79" s="7" t="s">
        <v>11010</v>
      </c>
      <c r="G79" s="7" t="s">
        <v>11151</v>
      </c>
      <c r="H79" s="7" t="s">
        <v>11013</v>
      </c>
      <c r="I79" s="7" t="s">
        <v>11153</v>
      </c>
      <c r="J79" s="7" t="s">
        <v>11015</v>
      </c>
      <c r="K79" s="7" t="s">
        <v>11155</v>
      </c>
      <c r="L79" s="7" t="s">
        <v>11017</v>
      </c>
      <c r="M79" s="7" t="s">
        <v>11157</v>
      </c>
      <c r="N79" s="7" t="s">
        <v>11019</v>
      </c>
      <c r="O79" s="7" t="s">
        <v>11159</v>
      </c>
      <c r="P79" s="7" t="s">
        <v>11021</v>
      </c>
      <c r="Q79" s="7" t="s">
        <v>11161</v>
      </c>
      <c r="R79" s="7" t="s">
        <v>11023</v>
      </c>
      <c r="S79" s="7" t="s">
        <v>11163</v>
      </c>
      <c r="T79" s="7" t="s">
        <v>11025</v>
      </c>
      <c r="U79" s="7" t="s">
        <v>11165</v>
      </c>
      <c r="V79" s="7" t="s">
        <v>11026</v>
      </c>
    </row>
    <row r="80" spans="1:22" ht="15">
      <c r="A80" s="76" t="s">
        <v>376</v>
      </c>
      <c r="B80" s="76">
        <v>2</v>
      </c>
      <c r="C80" s="76" t="s">
        <v>632</v>
      </c>
      <c r="D80" s="76">
        <v>1</v>
      </c>
      <c r="E80" s="76" t="s">
        <v>376</v>
      </c>
      <c r="F80" s="76">
        <v>2</v>
      </c>
      <c r="G80" s="76" t="s">
        <v>268</v>
      </c>
      <c r="H80" s="76">
        <v>1</v>
      </c>
      <c r="I80" s="76" t="s">
        <v>393</v>
      </c>
      <c r="J80" s="76">
        <v>1</v>
      </c>
      <c r="K80" s="76" t="s">
        <v>401</v>
      </c>
      <c r="L80" s="76">
        <v>1</v>
      </c>
      <c r="M80" s="76" t="s">
        <v>345</v>
      </c>
      <c r="N80" s="76">
        <v>1</v>
      </c>
      <c r="O80" s="76" t="s">
        <v>361</v>
      </c>
      <c r="P80" s="76">
        <v>1</v>
      </c>
      <c r="Q80" s="76" t="s">
        <v>434</v>
      </c>
      <c r="R80" s="76">
        <v>1</v>
      </c>
      <c r="S80" s="76" t="s">
        <v>373</v>
      </c>
      <c r="T80" s="76">
        <v>1</v>
      </c>
      <c r="U80" s="76" t="s">
        <v>352</v>
      </c>
      <c r="V80" s="76">
        <v>1</v>
      </c>
    </row>
    <row r="81" spans="1:22" ht="15">
      <c r="A81" s="77" t="s">
        <v>298</v>
      </c>
      <c r="B81" s="76">
        <v>2</v>
      </c>
      <c r="C81" s="76"/>
      <c r="D81" s="76"/>
      <c r="E81" s="76" t="s">
        <v>298</v>
      </c>
      <c r="F81" s="76">
        <v>2</v>
      </c>
      <c r="G81" s="76" t="s">
        <v>420</v>
      </c>
      <c r="H81" s="76">
        <v>1</v>
      </c>
      <c r="I81" s="76" t="s">
        <v>392</v>
      </c>
      <c r="J81" s="76">
        <v>1</v>
      </c>
      <c r="K81" s="76" t="s">
        <v>400</v>
      </c>
      <c r="L81" s="76">
        <v>1</v>
      </c>
      <c r="M81" s="76" t="s">
        <v>344</v>
      </c>
      <c r="N81" s="76">
        <v>1</v>
      </c>
      <c r="O81" s="76" t="s">
        <v>360</v>
      </c>
      <c r="P81" s="76">
        <v>1</v>
      </c>
      <c r="Q81" s="76" t="s">
        <v>433</v>
      </c>
      <c r="R81" s="76">
        <v>1</v>
      </c>
      <c r="S81" s="76" t="s">
        <v>372</v>
      </c>
      <c r="T81" s="76">
        <v>1</v>
      </c>
      <c r="U81" s="76" t="s">
        <v>351</v>
      </c>
      <c r="V81" s="76">
        <v>1</v>
      </c>
    </row>
    <row r="82" spans="1:22" ht="15">
      <c r="A82" s="77" t="s">
        <v>350</v>
      </c>
      <c r="B82" s="76">
        <v>2</v>
      </c>
      <c r="C82" s="76"/>
      <c r="D82" s="76"/>
      <c r="E82" s="76" t="s">
        <v>350</v>
      </c>
      <c r="F82" s="76">
        <v>2</v>
      </c>
      <c r="G82" s="76" t="s">
        <v>419</v>
      </c>
      <c r="H82" s="76">
        <v>1</v>
      </c>
      <c r="I82" s="76" t="s">
        <v>395</v>
      </c>
      <c r="J82" s="76">
        <v>1</v>
      </c>
      <c r="K82" s="76" t="s">
        <v>399</v>
      </c>
      <c r="L82" s="76">
        <v>1</v>
      </c>
      <c r="M82" s="76" t="s">
        <v>343</v>
      </c>
      <c r="N82" s="76">
        <v>1</v>
      </c>
      <c r="O82" s="76" t="s">
        <v>359</v>
      </c>
      <c r="P82" s="76">
        <v>1</v>
      </c>
      <c r="Q82" s="76"/>
      <c r="R82" s="76"/>
      <c r="S82" s="76" t="s">
        <v>3656</v>
      </c>
      <c r="T82" s="76">
        <v>1</v>
      </c>
      <c r="U82" s="76"/>
      <c r="V82" s="76"/>
    </row>
    <row r="83" spans="1:22" ht="15">
      <c r="A83" s="77" t="s">
        <v>434</v>
      </c>
      <c r="B83" s="76">
        <v>1</v>
      </c>
      <c r="C83" s="76"/>
      <c r="D83" s="76"/>
      <c r="E83" s="76" t="s">
        <v>416</v>
      </c>
      <c r="F83" s="76">
        <v>1</v>
      </c>
      <c r="G83" s="76" t="s">
        <v>421</v>
      </c>
      <c r="H83" s="76">
        <v>1</v>
      </c>
      <c r="I83" s="76"/>
      <c r="J83" s="76"/>
      <c r="K83" s="76" t="s">
        <v>398</v>
      </c>
      <c r="L83" s="76">
        <v>1</v>
      </c>
      <c r="M83" s="76" t="s">
        <v>342</v>
      </c>
      <c r="N83" s="76">
        <v>1</v>
      </c>
      <c r="O83" s="76"/>
      <c r="P83" s="76"/>
      <c r="Q83" s="76"/>
      <c r="R83" s="76"/>
      <c r="S83" s="76"/>
      <c r="T83" s="76"/>
      <c r="U83" s="76"/>
      <c r="V83" s="76"/>
    </row>
    <row r="84" spans="1:22" ht="15">
      <c r="A84" s="77" t="s">
        <v>433</v>
      </c>
      <c r="B84" s="76">
        <v>1</v>
      </c>
      <c r="C84" s="76"/>
      <c r="D84" s="76"/>
      <c r="E84" s="76"/>
      <c r="F84" s="76"/>
      <c r="G84" s="76" t="s">
        <v>424</v>
      </c>
      <c r="H84" s="76">
        <v>1</v>
      </c>
      <c r="I84" s="76"/>
      <c r="J84" s="76"/>
      <c r="K84" s="76"/>
      <c r="L84" s="76"/>
      <c r="M84" s="76"/>
      <c r="N84" s="76"/>
      <c r="O84" s="76"/>
      <c r="P84" s="76"/>
      <c r="Q84" s="76"/>
      <c r="R84" s="76"/>
      <c r="S84" s="76"/>
      <c r="T84" s="76"/>
      <c r="U84" s="76"/>
      <c r="V84" s="76"/>
    </row>
    <row r="85" spans="1:22" ht="15">
      <c r="A85" s="77" t="s">
        <v>335</v>
      </c>
      <c r="B85" s="76">
        <v>1</v>
      </c>
      <c r="C85" s="76"/>
      <c r="D85" s="76"/>
      <c r="E85" s="76"/>
      <c r="F85" s="76"/>
      <c r="G85" s="76" t="s">
        <v>423</v>
      </c>
      <c r="H85" s="76">
        <v>1</v>
      </c>
      <c r="I85" s="76"/>
      <c r="J85" s="76"/>
      <c r="K85" s="76"/>
      <c r="L85" s="76"/>
      <c r="M85" s="76"/>
      <c r="N85" s="76"/>
      <c r="O85" s="76"/>
      <c r="P85" s="76"/>
      <c r="Q85" s="76"/>
      <c r="R85" s="76"/>
      <c r="S85" s="76"/>
      <c r="T85" s="76"/>
      <c r="U85" s="76"/>
      <c r="V85" s="76"/>
    </row>
    <row r="86" spans="1:22" ht="15">
      <c r="A86" s="77" t="s">
        <v>424</v>
      </c>
      <c r="B86" s="76">
        <v>1</v>
      </c>
      <c r="C86" s="76"/>
      <c r="D86" s="76"/>
      <c r="E86" s="76"/>
      <c r="F86" s="76"/>
      <c r="G86" s="76" t="s">
        <v>379</v>
      </c>
      <c r="H86" s="76">
        <v>1</v>
      </c>
      <c r="I86" s="76"/>
      <c r="J86" s="76"/>
      <c r="K86" s="76"/>
      <c r="L86" s="76"/>
      <c r="M86" s="76"/>
      <c r="N86" s="76"/>
      <c r="O86" s="76"/>
      <c r="P86" s="76"/>
      <c r="Q86" s="76"/>
      <c r="R86" s="76"/>
      <c r="S86" s="76"/>
      <c r="T86" s="76"/>
      <c r="U86" s="76"/>
      <c r="V86" s="76"/>
    </row>
    <row r="87" spans="1:22" ht="15">
      <c r="A87" s="77" t="s">
        <v>423</v>
      </c>
      <c r="B87" s="76">
        <v>1</v>
      </c>
      <c r="C87" s="76"/>
      <c r="D87" s="76"/>
      <c r="E87" s="76"/>
      <c r="F87" s="76"/>
      <c r="G87" s="76"/>
      <c r="H87" s="76"/>
      <c r="I87" s="76"/>
      <c r="J87" s="76"/>
      <c r="K87" s="76"/>
      <c r="L87" s="76"/>
      <c r="M87" s="76"/>
      <c r="N87" s="76"/>
      <c r="O87" s="76"/>
      <c r="P87" s="76"/>
      <c r="Q87" s="76"/>
      <c r="R87" s="76"/>
      <c r="S87" s="76"/>
      <c r="T87" s="76"/>
      <c r="U87" s="76"/>
      <c r="V87" s="76"/>
    </row>
    <row r="88" spans="1:22" ht="15">
      <c r="A88" s="77" t="s">
        <v>421</v>
      </c>
      <c r="B88" s="76">
        <v>1</v>
      </c>
      <c r="C88" s="76"/>
      <c r="D88" s="76"/>
      <c r="E88" s="76"/>
      <c r="F88" s="76"/>
      <c r="G88" s="76"/>
      <c r="H88" s="76"/>
      <c r="I88" s="76"/>
      <c r="J88" s="76"/>
      <c r="K88" s="76"/>
      <c r="L88" s="76"/>
      <c r="M88" s="76"/>
      <c r="N88" s="76"/>
      <c r="O88" s="76"/>
      <c r="P88" s="76"/>
      <c r="Q88" s="76"/>
      <c r="R88" s="76"/>
      <c r="S88" s="76"/>
      <c r="T88" s="76"/>
      <c r="U88" s="76"/>
      <c r="V88" s="76"/>
    </row>
    <row r="89" spans="1:22" ht="15">
      <c r="A89" s="77" t="s">
        <v>268</v>
      </c>
      <c r="B89" s="76">
        <v>1</v>
      </c>
      <c r="C89" s="76"/>
      <c r="D89" s="76"/>
      <c r="E89" s="76"/>
      <c r="F89" s="76"/>
      <c r="G89" s="76"/>
      <c r="H89" s="76"/>
      <c r="I89" s="76"/>
      <c r="J89" s="76"/>
      <c r="K89" s="76"/>
      <c r="L89" s="76"/>
      <c r="M89" s="76"/>
      <c r="N89" s="76"/>
      <c r="O89" s="76"/>
      <c r="P89" s="76"/>
      <c r="Q89" s="76"/>
      <c r="R89" s="76"/>
      <c r="S89" s="76"/>
      <c r="T89" s="76"/>
      <c r="U89" s="76"/>
      <c r="V89" s="76"/>
    </row>
    <row r="92" spans="1:22" ht="15" customHeight="1">
      <c r="A92" s="7" t="s">
        <v>11183</v>
      </c>
      <c r="B92" s="7" t="s">
        <v>10996</v>
      </c>
      <c r="C92" s="7" t="s">
        <v>11184</v>
      </c>
      <c r="D92" s="7" t="s">
        <v>11007</v>
      </c>
      <c r="E92" s="7" t="s">
        <v>11185</v>
      </c>
      <c r="F92" s="7" t="s">
        <v>11010</v>
      </c>
      <c r="G92" s="7" t="s">
        <v>11186</v>
      </c>
      <c r="H92" s="7" t="s">
        <v>11013</v>
      </c>
      <c r="I92" s="7" t="s">
        <v>11187</v>
      </c>
      <c r="J92" s="7" t="s">
        <v>11015</v>
      </c>
      <c r="K92" s="7" t="s">
        <v>11188</v>
      </c>
      <c r="L92" s="7" t="s">
        <v>11017</v>
      </c>
      <c r="M92" s="7" t="s">
        <v>11189</v>
      </c>
      <c r="N92" s="7" t="s">
        <v>11019</v>
      </c>
      <c r="O92" s="7" t="s">
        <v>11190</v>
      </c>
      <c r="P92" s="7" t="s">
        <v>11021</v>
      </c>
      <c r="Q92" s="7" t="s">
        <v>11191</v>
      </c>
      <c r="R92" s="7" t="s">
        <v>11023</v>
      </c>
      <c r="S92" s="7" t="s">
        <v>11192</v>
      </c>
      <c r="T92" s="7" t="s">
        <v>11025</v>
      </c>
      <c r="U92" s="7" t="s">
        <v>11193</v>
      </c>
      <c r="V92" s="7" t="s">
        <v>11026</v>
      </c>
    </row>
    <row r="93" spans="1:22" ht="15">
      <c r="A93" s="103" t="s">
        <v>364</v>
      </c>
      <c r="B93" s="76">
        <v>625330</v>
      </c>
      <c r="C93" s="103" t="s">
        <v>284</v>
      </c>
      <c r="D93" s="76">
        <v>279922</v>
      </c>
      <c r="E93" s="103" t="s">
        <v>246</v>
      </c>
      <c r="F93" s="76">
        <v>50753</v>
      </c>
      <c r="G93" s="103" t="s">
        <v>425</v>
      </c>
      <c r="H93" s="76">
        <v>286316</v>
      </c>
      <c r="I93" s="103" t="s">
        <v>393</v>
      </c>
      <c r="J93" s="76">
        <v>24075</v>
      </c>
      <c r="K93" s="103" t="s">
        <v>401</v>
      </c>
      <c r="L93" s="76">
        <v>420320</v>
      </c>
      <c r="M93" s="103" t="s">
        <v>345</v>
      </c>
      <c r="N93" s="76">
        <v>47144</v>
      </c>
      <c r="O93" s="103" t="s">
        <v>361</v>
      </c>
      <c r="P93" s="76">
        <v>142880</v>
      </c>
      <c r="Q93" s="103" t="s">
        <v>433</v>
      </c>
      <c r="R93" s="76">
        <v>47979</v>
      </c>
      <c r="S93" s="103" t="s">
        <v>374</v>
      </c>
      <c r="T93" s="76">
        <v>44585</v>
      </c>
      <c r="U93" s="103" t="s">
        <v>233</v>
      </c>
      <c r="V93" s="76">
        <v>530984</v>
      </c>
    </row>
    <row r="94" spans="1:22" ht="15">
      <c r="A94" s="107" t="s">
        <v>233</v>
      </c>
      <c r="B94" s="76">
        <v>530984</v>
      </c>
      <c r="C94" s="103" t="s">
        <v>632</v>
      </c>
      <c r="D94" s="76">
        <v>254013</v>
      </c>
      <c r="E94" s="103" t="s">
        <v>316</v>
      </c>
      <c r="F94" s="76">
        <v>39166</v>
      </c>
      <c r="G94" s="103" t="s">
        <v>319</v>
      </c>
      <c r="H94" s="76">
        <v>77620</v>
      </c>
      <c r="I94" s="103" t="s">
        <v>288</v>
      </c>
      <c r="J94" s="76">
        <v>22798</v>
      </c>
      <c r="K94" s="103" t="s">
        <v>291</v>
      </c>
      <c r="L94" s="76">
        <v>142610</v>
      </c>
      <c r="M94" s="103" t="s">
        <v>346</v>
      </c>
      <c r="N94" s="76">
        <v>38978</v>
      </c>
      <c r="O94" s="103" t="s">
        <v>362</v>
      </c>
      <c r="P94" s="76">
        <v>41643</v>
      </c>
      <c r="Q94" s="103" t="s">
        <v>435</v>
      </c>
      <c r="R94" s="76">
        <v>21054</v>
      </c>
      <c r="S94" s="103" t="s">
        <v>372</v>
      </c>
      <c r="T94" s="76">
        <v>16072</v>
      </c>
      <c r="U94" s="103" t="s">
        <v>351</v>
      </c>
      <c r="V94" s="76">
        <v>89463</v>
      </c>
    </row>
    <row r="95" spans="1:22" ht="15">
      <c r="A95" s="107" t="s">
        <v>401</v>
      </c>
      <c r="B95" s="76">
        <v>420320</v>
      </c>
      <c r="C95" s="103" t="s">
        <v>327</v>
      </c>
      <c r="D95" s="76">
        <v>222368</v>
      </c>
      <c r="E95" s="103" t="s">
        <v>350</v>
      </c>
      <c r="F95" s="76">
        <v>26815</v>
      </c>
      <c r="G95" s="103" t="s">
        <v>424</v>
      </c>
      <c r="H95" s="76">
        <v>27626</v>
      </c>
      <c r="I95" s="103" t="s">
        <v>396</v>
      </c>
      <c r="J95" s="76">
        <v>17727</v>
      </c>
      <c r="K95" s="103" t="s">
        <v>402</v>
      </c>
      <c r="L95" s="76">
        <v>98538</v>
      </c>
      <c r="M95" s="103" t="s">
        <v>343</v>
      </c>
      <c r="N95" s="76">
        <v>14598</v>
      </c>
      <c r="O95" s="103" t="s">
        <v>359</v>
      </c>
      <c r="P95" s="76">
        <v>4934</v>
      </c>
      <c r="Q95" s="103" t="s">
        <v>434</v>
      </c>
      <c r="R95" s="76">
        <v>12649</v>
      </c>
      <c r="S95" s="103" t="s">
        <v>257</v>
      </c>
      <c r="T95" s="76">
        <v>10991</v>
      </c>
      <c r="U95" s="103" t="s">
        <v>352</v>
      </c>
      <c r="V95" s="76">
        <v>60278</v>
      </c>
    </row>
    <row r="96" spans="1:22" ht="15">
      <c r="A96" s="107" t="s">
        <v>425</v>
      </c>
      <c r="B96" s="76">
        <v>286316</v>
      </c>
      <c r="C96" s="103" t="s">
        <v>249</v>
      </c>
      <c r="D96" s="76">
        <v>178190</v>
      </c>
      <c r="E96" s="103" t="s">
        <v>376</v>
      </c>
      <c r="F96" s="76">
        <v>26331</v>
      </c>
      <c r="G96" s="103" t="s">
        <v>259</v>
      </c>
      <c r="H96" s="76">
        <v>26612</v>
      </c>
      <c r="I96" s="103" t="s">
        <v>397</v>
      </c>
      <c r="J96" s="76">
        <v>15914</v>
      </c>
      <c r="K96" s="103" t="s">
        <v>399</v>
      </c>
      <c r="L96" s="76">
        <v>37845</v>
      </c>
      <c r="M96" s="103" t="s">
        <v>344</v>
      </c>
      <c r="N96" s="76">
        <v>6001</v>
      </c>
      <c r="O96" s="103" t="s">
        <v>244</v>
      </c>
      <c r="P96" s="76">
        <v>4559</v>
      </c>
      <c r="Q96" s="103" t="s">
        <v>338</v>
      </c>
      <c r="R96" s="76">
        <v>3162</v>
      </c>
      <c r="S96" s="103" t="s">
        <v>373</v>
      </c>
      <c r="T96" s="76">
        <v>280</v>
      </c>
      <c r="U96" s="103" t="s">
        <v>353</v>
      </c>
      <c r="V96" s="76">
        <v>13693</v>
      </c>
    </row>
    <row r="97" spans="1:22" ht="15">
      <c r="A97" s="107" t="s">
        <v>284</v>
      </c>
      <c r="B97" s="76">
        <v>279922</v>
      </c>
      <c r="C97" s="103" t="s">
        <v>253</v>
      </c>
      <c r="D97" s="76">
        <v>98697</v>
      </c>
      <c r="E97" s="103" t="s">
        <v>416</v>
      </c>
      <c r="F97" s="76">
        <v>21207</v>
      </c>
      <c r="G97" s="103" t="s">
        <v>268</v>
      </c>
      <c r="H97" s="76">
        <v>19105</v>
      </c>
      <c r="I97" s="103" t="s">
        <v>394</v>
      </c>
      <c r="J97" s="76">
        <v>10870</v>
      </c>
      <c r="K97" s="103" t="s">
        <v>400</v>
      </c>
      <c r="L97" s="76">
        <v>16246</v>
      </c>
      <c r="M97" s="103" t="s">
        <v>225</v>
      </c>
      <c r="N97" s="76">
        <v>1982</v>
      </c>
      <c r="O97" s="103" t="s">
        <v>360</v>
      </c>
      <c r="P97" s="76">
        <v>2487</v>
      </c>
      <c r="Q97" s="103"/>
      <c r="R97" s="76"/>
      <c r="S97" s="103"/>
      <c r="T97" s="76"/>
      <c r="U97" s="103"/>
      <c r="V97" s="76"/>
    </row>
    <row r="98" spans="1:22" ht="15">
      <c r="A98" s="107" t="s">
        <v>313</v>
      </c>
      <c r="B98" s="76">
        <v>263989</v>
      </c>
      <c r="C98" s="103" t="s">
        <v>333</v>
      </c>
      <c r="D98" s="76">
        <v>97888</v>
      </c>
      <c r="E98" s="103" t="s">
        <v>232</v>
      </c>
      <c r="F98" s="76">
        <v>9420</v>
      </c>
      <c r="G98" s="103" t="s">
        <v>422</v>
      </c>
      <c r="H98" s="76">
        <v>13720</v>
      </c>
      <c r="I98" s="103" t="s">
        <v>392</v>
      </c>
      <c r="J98" s="76">
        <v>2519</v>
      </c>
      <c r="K98" s="103" t="s">
        <v>398</v>
      </c>
      <c r="L98" s="76">
        <v>10074</v>
      </c>
      <c r="M98" s="103" t="s">
        <v>342</v>
      </c>
      <c r="N98" s="76">
        <v>182</v>
      </c>
      <c r="O98" s="103"/>
      <c r="P98" s="76"/>
      <c r="Q98" s="103"/>
      <c r="R98" s="76"/>
      <c r="S98" s="103"/>
      <c r="T98" s="76"/>
      <c r="U98" s="103"/>
      <c r="V98" s="76"/>
    </row>
    <row r="99" spans="1:22" ht="15">
      <c r="A99" s="107" t="s">
        <v>632</v>
      </c>
      <c r="B99" s="76">
        <v>254013</v>
      </c>
      <c r="C99" s="103" t="s">
        <v>237</v>
      </c>
      <c r="D99" s="76">
        <v>78668</v>
      </c>
      <c r="E99" s="103" t="s">
        <v>363</v>
      </c>
      <c r="F99" s="76">
        <v>6956</v>
      </c>
      <c r="G99" s="103" t="s">
        <v>379</v>
      </c>
      <c r="H99" s="76">
        <v>12277</v>
      </c>
      <c r="I99" s="103" t="s">
        <v>395</v>
      </c>
      <c r="J99" s="76">
        <v>449</v>
      </c>
      <c r="K99" s="103"/>
      <c r="L99" s="76"/>
      <c r="M99" s="103"/>
      <c r="N99" s="76"/>
      <c r="O99" s="103"/>
      <c r="P99" s="76"/>
      <c r="Q99" s="103"/>
      <c r="R99" s="76"/>
      <c r="S99" s="103"/>
      <c r="T99" s="76"/>
      <c r="U99" s="103"/>
      <c r="V99" s="76"/>
    </row>
    <row r="100" spans="1:22" ht="15">
      <c r="A100" s="107" t="s">
        <v>335</v>
      </c>
      <c r="B100" s="76">
        <v>239088</v>
      </c>
      <c r="C100" s="103" t="s">
        <v>309</v>
      </c>
      <c r="D100" s="76">
        <v>78282</v>
      </c>
      <c r="E100" s="103" t="s">
        <v>263</v>
      </c>
      <c r="F100" s="76">
        <v>2663</v>
      </c>
      <c r="G100" s="103" t="s">
        <v>419</v>
      </c>
      <c r="H100" s="76">
        <v>6172</v>
      </c>
      <c r="I100" s="103"/>
      <c r="J100" s="76"/>
      <c r="K100" s="103"/>
      <c r="L100" s="76"/>
      <c r="M100" s="103"/>
      <c r="N100" s="76"/>
      <c r="O100" s="103"/>
      <c r="P100" s="76"/>
      <c r="Q100" s="103"/>
      <c r="R100" s="76"/>
      <c r="S100" s="103"/>
      <c r="T100" s="76"/>
      <c r="U100" s="103"/>
      <c r="V100" s="76"/>
    </row>
    <row r="101" spans="1:22" ht="15">
      <c r="A101" s="107" t="s">
        <v>386</v>
      </c>
      <c r="B101" s="76">
        <v>230116</v>
      </c>
      <c r="C101" s="103" t="s">
        <v>281</v>
      </c>
      <c r="D101" s="76">
        <v>70881</v>
      </c>
      <c r="E101" s="103" t="s">
        <v>337</v>
      </c>
      <c r="F101" s="76">
        <v>2643</v>
      </c>
      <c r="G101" s="103" t="s">
        <v>420</v>
      </c>
      <c r="H101" s="76">
        <v>5407</v>
      </c>
      <c r="I101" s="103"/>
      <c r="J101" s="76"/>
      <c r="K101" s="103"/>
      <c r="L101" s="76"/>
      <c r="M101" s="103"/>
      <c r="N101" s="76"/>
      <c r="O101" s="103"/>
      <c r="P101" s="76"/>
      <c r="Q101" s="103"/>
      <c r="R101" s="76"/>
      <c r="S101" s="103"/>
      <c r="T101" s="76"/>
      <c r="U101" s="103"/>
      <c r="V101" s="76"/>
    </row>
    <row r="102" spans="1:22" ht="15">
      <c r="A102" s="107" t="s">
        <v>327</v>
      </c>
      <c r="B102" s="76">
        <v>222368</v>
      </c>
      <c r="C102" s="103" t="s">
        <v>334</v>
      </c>
      <c r="D102" s="76">
        <v>67238</v>
      </c>
      <c r="E102" s="103" t="s">
        <v>298</v>
      </c>
      <c r="F102" s="76">
        <v>2475</v>
      </c>
      <c r="G102" s="103" t="s">
        <v>421</v>
      </c>
      <c r="H102" s="76">
        <v>5292</v>
      </c>
      <c r="I102" s="103"/>
      <c r="J102" s="76"/>
      <c r="K102" s="103"/>
      <c r="L102" s="76"/>
      <c r="M102" s="103"/>
      <c r="N102" s="76"/>
      <c r="O102" s="103"/>
      <c r="P102" s="76"/>
      <c r="Q102" s="103"/>
      <c r="R102" s="76"/>
      <c r="S102" s="103"/>
      <c r="T102" s="76"/>
      <c r="U102" s="103"/>
      <c r="V102" s="76"/>
    </row>
  </sheetData>
  <hyperlinks>
    <hyperlink ref="A2" r:id="rId1" display="https://www.washingtonpost.com/world/2023/11/06/israel-hamas-war-gaza-news-palestine/"/>
    <hyperlink ref="A3" r:id="rId2" display="https://www.kptv.com/2024/01/21/palestinian-death-toll-soars-past-25000-gaza-with-no-end-sight-israel-hamas-war/"/>
    <hyperlink ref="A4" r:id="rId3" display="https://www.washingtonpost.com/world/2023/02/09/turkey-syria-earthquake-death-count-updates/"/>
    <hyperlink ref="A5" r:id="rId4" display="https://www.oregonlive.com/nation/2024/01/palestinian-death-toll-in-gaza-surpasses-25000-while-israel-announces-death-of-another-hostage.html?utm_campaign=theoregonian_sf&amp;utm_medium=social&amp;utm_source=twitter"/>
    <hyperlink ref="A6" r:id="rId5" display="https://www.bizjournals.com/portland/news/2024/01/26/oregon-wine-beer-taxes-econorthwest-report.html?csrc=6398&amp;taid=65b432701d333000011856f3&amp;utm_campaign=trueAnthemTrendingContent&amp;utm_medium=trueAnthem&amp;utm_source=twitter"/>
    <hyperlink ref="A7" r:id="rId6" display="https://www.bizjournals.com/portland/news/2024/01/26/oregon-wine-beer-taxes-econorthwest-report.html?csrc=6398&amp;taid=65b49bf74d231b00014dcf3c&amp;utm_campaign=trueAnthemTrendingContent&amp;utm_medium=trueAnthem&amp;utm_source=twitter"/>
    <hyperlink ref="A8" r:id="rId7" display="https://www.bizjournals.com/portland/news/2024/01/26/oregon-wine-beer-taxes-econorthwest-report.html?csrc=6398&amp;taid=65b560d14d231b00014de742&amp;utm_campaign=trueAnthemTrendingContent&amp;utm_medium=trueAnthem&amp;utm_source=twitter"/>
    <hyperlink ref="A9" r:id="rId8" display="https://www.sec.gov/news/press-release/2022-97"/>
    <hyperlink ref="A10" r:id="rId9" display="https://www.voanews.com/a/gaza-death-toll-climbs-above-26-000-health-ministry-reports/7458258.html"/>
    <hyperlink ref="A11" r:id="rId10" display="https://www.nytimes.com/interactive/2021/08/11/climate/deaths-pacific-northwest-heat-wave.html?smid=nytcore-android-share"/>
    <hyperlink ref="C2" r:id="rId11" display="https://www.washingtonpost.com/world/2023/11/06/israel-hamas-war-gaza-news-palestine/"/>
    <hyperlink ref="C3" r:id="rId12" display="https://www.youtube.com/watch?v=oVWDz6HzozI"/>
    <hyperlink ref="C4" r:id="rId13" display="https://apnews.com/article/israel-hamas-war-news-01-21-2024-02caafa092668ecc7ff122229c166807"/>
    <hyperlink ref="C5" r:id="rId14" display="https://www.thestreet.com/crypto/markets/sec-approves-first-ever-spot-bitcoin-etfs"/>
    <hyperlink ref="C6" r:id="rId15" display="http://dlvr.it/T1nZyd"/>
    <hyperlink ref="C7" r:id="rId16" display="https://www.gcsaa.org/resources/regional-resources/northwest/northwest-blog/2023/11/21/creating-an-emotional-support-network"/>
    <hyperlink ref="C8" r:id="rId17" display="https://www.nytimes.com/2023/03/08/us/san-bernardino-snow-storm-deaths.html"/>
    <hyperlink ref="C9" r:id="rId18" display="https://wapo.st/45mSV1C"/>
    <hyperlink ref="C10" r:id="rId19" display="https://www.kgw.com/article/news/nation-world/israel-hamas-conflict/israel-hamas-war-palestinian-death-toll-in-gaza/507-b5580c00-947b-4cdf-bc5a-f1a42ba9377a?utm_campaign=snd-autopilot"/>
    <hyperlink ref="C11" r:id="rId20" display="https://www.nytimes.com/interactive/2021/08/11/climate/deaths-pacific-northwest-heat-wave.html?smid=nytcore-android-share"/>
    <hyperlink ref="E2" r:id="rId21" display="https://www.sec.gov/news/press-release/2022-97"/>
    <hyperlink ref="E3" r:id="rId22" display="https://bit.ly/3SbbYbm"/>
    <hyperlink ref="G2" r:id="rId23" display="https://www.kgw.com/article/news/local/interstate-bridge-replacement-first-federal-funding/283-ee7735d4-4c90-4f7c-92d7-55069cb98bca"/>
  </hyperlinks>
  <printOptions/>
  <pageMargins left="0.7" right="0.7" top="0.75" bottom="0.75" header="0.3" footer="0.3"/>
  <pageSetup orientation="portrait" paperSize="9"/>
  <tableParts>
    <tablePart r:id="rId28"/>
    <tablePart r:id="rId30"/>
    <tablePart r:id="rId31"/>
    <tablePart r:id="rId24"/>
    <tablePart r:id="rId27"/>
    <tablePart r:id="rId29"/>
    <tablePart r:id="rId25"/>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B891F-F75F-49D1-B94C-64A586EA24CA}">
  <dimension ref="A25:B250"/>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5" t="s">
        <v>11535</v>
      </c>
      <c r="B25" t="s">
        <v>11534</v>
      </c>
    </row>
    <row r="26" spans="1:2" ht="15">
      <c r="A26" s="116" t="s">
        <v>11537</v>
      </c>
      <c r="B26" s="106">
        <v>81</v>
      </c>
    </row>
    <row r="27" spans="1:2" ht="15">
      <c r="A27" s="117" t="s">
        <v>11538</v>
      </c>
      <c r="B27" s="106">
        <v>6</v>
      </c>
    </row>
    <row r="28" spans="1:2" ht="15">
      <c r="A28" s="118" t="s">
        <v>11539</v>
      </c>
      <c r="B28" s="106">
        <v>1</v>
      </c>
    </row>
    <row r="29" spans="1:2" ht="15">
      <c r="A29" s="119" t="s">
        <v>11540</v>
      </c>
      <c r="B29" s="106">
        <v>1</v>
      </c>
    </row>
    <row r="30" spans="1:2" ht="15">
      <c r="A30" s="118" t="s">
        <v>11541</v>
      </c>
      <c r="B30" s="106">
        <v>1</v>
      </c>
    </row>
    <row r="31" spans="1:2" ht="15">
      <c r="A31" s="119" t="s">
        <v>11542</v>
      </c>
      <c r="B31" s="106">
        <v>1</v>
      </c>
    </row>
    <row r="32" spans="1:2" ht="15">
      <c r="A32" s="118" t="s">
        <v>11543</v>
      </c>
      <c r="B32" s="106">
        <v>1</v>
      </c>
    </row>
    <row r="33" spans="1:2" ht="15">
      <c r="A33" s="119" t="s">
        <v>11544</v>
      </c>
      <c r="B33" s="106">
        <v>1</v>
      </c>
    </row>
    <row r="34" spans="1:2" ht="15">
      <c r="A34" s="118" t="s">
        <v>11545</v>
      </c>
      <c r="B34" s="106">
        <v>2</v>
      </c>
    </row>
    <row r="35" spans="1:2" ht="15">
      <c r="A35" s="119" t="s">
        <v>11540</v>
      </c>
      <c r="B35" s="106">
        <v>2</v>
      </c>
    </row>
    <row r="36" spans="1:2" ht="15">
      <c r="A36" s="118" t="s">
        <v>11546</v>
      </c>
      <c r="B36" s="106">
        <v>1</v>
      </c>
    </row>
    <row r="37" spans="1:2" ht="15">
      <c r="A37" s="119" t="s">
        <v>11547</v>
      </c>
      <c r="B37" s="106">
        <v>1</v>
      </c>
    </row>
    <row r="38" spans="1:2" ht="15">
      <c r="A38" s="117" t="s">
        <v>11548</v>
      </c>
      <c r="B38" s="106">
        <v>10</v>
      </c>
    </row>
    <row r="39" spans="1:2" ht="15">
      <c r="A39" s="118" t="s">
        <v>11549</v>
      </c>
      <c r="B39" s="106">
        <v>1</v>
      </c>
    </row>
    <row r="40" spans="1:2" ht="15">
      <c r="A40" s="119" t="s">
        <v>11550</v>
      </c>
      <c r="B40" s="106">
        <v>1</v>
      </c>
    </row>
    <row r="41" spans="1:2" ht="15">
      <c r="A41" s="118" t="s">
        <v>11551</v>
      </c>
      <c r="B41" s="106">
        <v>1</v>
      </c>
    </row>
    <row r="42" spans="1:2" ht="15">
      <c r="A42" s="119" t="s">
        <v>11552</v>
      </c>
      <c r="B42" s="106">
        <v>1</v>
      </c>
    </row>
    <row r="43" spans="1:2" ht="15">
      <c r="A43" s="118" t="s">
        <v>11553</v>
      </c>
      <c r="B43" s="106">
        <v>2</v>
      </c>
    </row>
    <row r="44" spans="1:2" ht="15">
      <c r="A44" s="119" t="s">
        <v>11554</v>
      </c>
      <c r="B44" s="106">
        <v>1</v>
      </c>
    </row>
    <row r="45" spans="1:2" ht="15">
      <c r="A45" s="119" t="s">
        <v>11555</v>
      </c>
      <c r="B45" s="106">
        <v>1</v>
      </c>
    </row>
    <row r="46" spans="1:2" ht="15">
      <c r="A46" s="118" t="s">
        <v>11556</v>
      </c>
      <c r="B46" s="106">
        <v>2</v>
      </c>
    </row>
    <row r="47" spans="1:2" ht="15">
      <c r="A47" s="119" t="s">
        <v>11557</v>
      </c>
      <c r="B47" s="106">
        <v>1</v>
      </c>
    </row>
    <row r="48" spans="1:2" ht="15">
      <c r="A48" s="119" t="s">
        <v>11540</v>
      </c>
      <c r="B48" s="106">
        <v>1</v>
      </c>
    </row>
    <row r="49" spans="1:2" ht="15">
      <c r="A49" s="118" t="s">
        <v>11558</v>
      </c>
      <c r="B49" s="106">
        <v>1</v>
      </c>
    </row>
    <row r="50" spans="1:2" ht="15">
      <c r="A50" s="119" t="s">
        <v>11552</v>
      </c>
      <c r="B50" s="106">
        <v>1</v>
      </c>
    </row>
    <row r="51" spans="1:2" ht="15">
      <c r="A51" s="118" t="s">
        <v>11559</v>
      </c>
      <c r="B51" s="106">
        <v>1</v>
      </c>
    </row>
    <row r="52" spans="1:2" ht="15">
      <c r="A52" s="119" t="s">
        <v>11560</v>
      </c>
      <c r="B52" s="106">
        <v>1</v>
      </c>
    </row>
    <row r="53" spans="1:2" ht="15">
      <c r="A53" s="118" t="s">
        <v>11561</v>
      </c>
      <c r="B53" s="106">
        <v>1</v>
      </c>
    </row>
    <row r="54" spans="1:2" ht="15">
      <c r="A54" s="119" t="s">
        <v>11540</v>
      </c>
      <c r="B54" s="106">
        <v>1</v>
      </c>
    </row>
    <row r="55" spans="1:2" ht="15">
      <c r="A55" s="118" t="s">
        <v>11562</v>
      </c>
      <c r="B55" s="106">
        <v>1</v>
      </c>
    </row>
    <row r="56" spans="1:2" ht="15">
      <c r="A56" s="119" t="s">
        <v>11542</v>
      </c>
      <c r="B56" s="106">
        <v>1</v>
      </c>
    </row>
    <row r="57" spans="1:2" ht="15">
      <c r="A57" s="117" t="s">
        <v>11563</v>
      </c>
      <c r="B57" s="106">
        <v>6</v>
      </c>
    </row>
    <row r="58" spans="1:2" ht="15">
      <c r="A58" s="118" t="s">
        <v>11564</v>
      </c>
      <c r="B58" s="106">
        <v>1</v>
      </c>
    </row>
    <row r="59" spans="1:2" ht="15">
      <c r="A59" s="119" t="s">
        <v>11565</v>
      </c>
      <c r="B59" s="106">
        <v>1</v>
      </c>
    </row>
    <row r="60" spans="1:2" ht="15">
      <c r="A60" s="118" t="s">
        <v>11566</v>
      </c>
      <c r="B60" s="106">
        <v>2</v>
      </c>
    </row>
    <row r="61" spans="1:2" ht="15">
      <c r="A61" s="119" t="s">
        <v>11552</v>
      </c>
      <c r="B61" s="106">
        <v>1</v>
      </c>
    </row>
    <row r="62" spans="1:2" ht="15">
      <c r="A62" s="119" t="s">
        <v>11544</v>
      </c>
      <c r="B62" s="106">
        <v>1</v>
      </c>
    </row>
    <row r="63" spans="1:2" ht="15">
      <c r="A63" s="118" t="s">
        <v>11567</v>
      </c>
      <c r="B63" s="106">
        <v>1</v>
      </c>
    </row>
    <row r="64" spans="1:2" ht="15">
      <c r="A64" s="119" t="s">
        <v>11542</v>
      </c>
      <c r="B64" s="106">
        <v>1</v>
      </c>
    </row>
    <row r="65" spans="1:2" ht="15">
      <c r="A65" s="118" t="s">
        <v>11568</v>
      </c>
      <c r="B65" s="106">
        <v>1</v>
      </c>
    </row>
    <row r="66" spans="1:2" ht="15">
      <c r="A66" s="119" t="s">
        <v>11569</v>
      </c>
      <c r="B66" s="106">
        <v>1</v>
      </c>
    </row>
    <row r="67" spans="1:2" ht="15">
      <c r="A67" s="118" t="s">
        <v>11570</v>
      </c>
      <c r="B67" s="106">
        <v>1</v>
      </c>
    </row>
    <row r="68" spans="1:2" ht="15">
      <c r="A68" s="119" t="s">
        <v>11557</v>
      </c>
      <c r="B68" s="106">
        <v>1</v>
      </c>
    </row>
    <row r="69" spans="1:2" ht="15">
      <c r="A69" s="117" t="s">
        <v>11571</v>
      </c>
      <c r="B69" s="106">
        <v>7</v>
      </c>
    </row>
    <row r="70" spans="1:2" ht="15">
      <c r="A70" s="118" t="s">
        <v>11572</v>
      </c>
      <c r="B70" s="106">
        <v>2</v>
      </c>
    </row>
    <row r="71" spans="1:2" ht="15">
      <c r="A71" s="119" t="s">
        <v>11550</v>
      </c>
      <c r="B71" s="106">
        <v>1</v>
      </c>
    </row>
    <row r="72" spans="1:2" ht="15">
      <c r="A72" s="119" t="s">
        <v>11573</v>
      </c>
      <c r="B72" s="106">
        <v>1</v>
      </c>
    </row>
    <row r="73" spans="1:2" ht="15">
      <c r="A73" s="118" t="s">
        <v>11574</v>
      </c>
      <c r="B73" s="106">
        <v>1</v>
      </c>
    </row>
    <row r="74" spans="1:2" ht="15">
      <c r="A74" s="119" t="s">
        <v>11555</v>
      </c>
      <c r="B74" s="106">
        <v>1</v>
      </c>
    </row>
    <row r="75" spans="1:2" ht="15">
      <c r="A75" s="118" t="s">
        <v>11575</v>
      </c>
      <c r="B75" s="106">
        <v>1</v>
      </c>
    </row>
    <row r="76" spans="1:2" ht="15">
      <c r="A76" s="119" t="s">
        <v>11554</v>
      </c>
      <c r="B76" s="106">
        <v>1</v>
      </c>
    </row>
    <row r="77" spans="1:2" ht="15">
      <c r="A77" s="118" t="s">
        <v>11576</v>
      </c>
      <c r="B77" s="106">
        <v>1</v>
      </c>
    </row>
    <row r="78" spans="1:2" ht="15">
      <c r="A78" s="119" t="s">
        <v>11555</v>
      </c>
      <c r="B78" s="106">
        <v>1</v>
      </c>
    </row>
    <row r="79" spans="1:2" ht="15">
      <c r="A79" s="118" t="s">
        <v>11577</v>
      </c>
      <c r="B79" s="106">
        <v>2</v>
      </c>
    </row>
    <row r="80" spans="1:2" ht="15">
      <c r="A80" s="119" t="s">
        <v>11573</v>
      </c>
      <c r="B80" s="106">
        <v>1</v>
      </c>
    </row>
    <row r="81" spans="1:2" ht="15">
      <c r="A81" s="119" t="s">
        <v>11569</v>
      </c>
      <c r="B81" s="106">
        <v>1</v>
      </c>
    </row>
    <row r="82" spans="1:2" ht="15">
      <c r="A82" s="117" t="s">
        <v>11578</v>
      </c>
      <c r="B82" s="106">
        <v>6</v>
      </c>
    </row>
    <row r="83" spans="1:2" ht="15">
      <c r="A83" s="118" t="s">
        <v>11579</v>
      </c>
      <c r="B83" s="106">
        <v>1</v>
      </c>
    </row>
    <row r="84" spans="1:2" ht="15">
      <c r="A84" s="119" t="s">
        <v>11554</v>
      </c>
      <c r="B84" s="106">
        <v>1</v>
      </c>
    </row>
    <row r="85" spans="1:2" ht="15">
      <c r="A85" s="118" t="s">
        <v>11580</v>
      </c>
      <c r="B85" s="106">
        <v>2</v>
      </c>
    </row>
    <row r="86" spans="1:2" ht="15">
      <c r="A86" s="119" t="s">
        <v>11569</v>
      </c>
      <c r="B86" s="106">
        <v>2</v>
      </c>
    </row>
    <row r="87" spans="1:2" ht="15">
      <c r="A87" s="118" t="s">
        <v>11581</v>
      </c>
      <c r="B87" s="106">
        <v>1</v>
      </c>
    </row>
    <row r="88" spans="1:2" ht="15">
      <c r="A88" s="119" t="s">
        <v>11569</v>
      </c>
      <c r="B88" s="106">
        <v>1</v>
      </c>
    </row>
    <row r="89" spans="1:2" ht="15">
      <c r="A89" s="118" t="s">
        <v>11582</v>
      </c>
      <c r="B89" s="106">
        <v>2</v>
      </c>
    </row>
    <row r="90" spans="1:2" ht="15">
      <c r="A90" s="119" t="s">
        <v>11552</v>
      </c>
      <c r="B90" s="106">
        <v>1</v>
      </c>
    </row>
    <row r="91" spans="1:2" ht="15">
      <c r="A91" s="119" t="s">
        <v>11573</v>
      </c>
      <c r="B91" s="106">
        <v>1</v>
      </c>
    </row>
    <row r="92" spans="1:2" ht="15">
      <c r="A92" s="117" t="s">
        <v>11583</v>
      </c>
      <c r="B92" s="106">
        <v>3</v>
      </c>
    </row>
    <row r="93" spans="1:2" ht="15">
      <c r="A93" s="118" t="s">
        <v>11584</v>
      </c>
      <c r="B93" s="106">
        <v>1</v>
      </c>
    </row>
    <row r="94" spans="1:2" ht="15">
      <c r="A94" s="119" t="s">
        <v>11585</v>
      </c>
      <c r="B94" s="106">
        <v>1</v>
      </c>
    </row>
    <row r="95" spans="1:2" ht="15">
      <c r="A95" s="118" t="s">
        <v>11586</v>
      </c>
      <c r="B95" s="106">
        <v>1</v>
      </c>
    </row>
    <row r="96" spans="1:2" ht="15">
      <c r="A96" s="119" t="s">
        <v>11587</v>
      </c>
      <c r="B96" s="106">
        <v>1</v>
      </c>
    </row>
    <row r="97" spans="1:2" ht="15">
      <c r="A97" s="118" t="s">
        <v>11588</v>
      </c>
      <c r="B97" s="106">
        <v>1</v>
      </c>
    </row>
    <row r="98" spans="1:2" ht="15">
      <c r="A98" s="119" t="s">
        <v>11573</v>
      </c>
      <c r="B98" s="106">
        <v>1</v>
      </c>
    </row>
    <row r="99" spans="1:2" ht="15">
      <c r="A99" s="117" t="s">
        <v>11589</v>
      </c>
      <c r="B99" s="106">
        <v>4</v>
      </c>
    </row>
    <row r="100" spans="1:2" ht="15">
      <c r="A100" s="118" t="s">
        <v>11590</v>
      </c>
      <c r="B100" s="106">
        <v>1</v>
      </c>
    </row>
    <row r="101" spans="1:2" ht="15">
      <c r="A101" s="119" t="s">
        <v>11557</v>
      </c>
      <c r="B101" s="106">
        <v>1</v>
      </c>
    </row>
    <row r="102" spans="1:2" ht="15">
      <c r="A102" s="118" t="s">
        <v>11591</v>
      </c>
      <c r="B102" s="106">
        <v>1</v>
      </c>
    </row>
    <row r="103" spans="1:2" ht="15">
      <c r="A103" s="119" t="s">
        <v>11592</v>
      </c>
      <c r="B103" s="106">
        <v>1</v>
      </c>
    </row>
    <row r="104" spans="1:2" ht="15">
      <c r="A104" s="118" t="s">
        <v>11593</v>
      </c>
      <c r="B104" s="106">
        <v>1</v>
      </c>
    </row>
    <row r="105" spans="1:2" ht="15">
      <c r="A105" s="119" t="s">
        <v>11594</v>
      </c>
      <c r="B105" s="106">
        <v>1</v>
      </c>
    </row>
    <row r="106" spans="1:2" ht="15">
      <c r="A106" s="118" t="s">
        <v>11595</v>
      </c>
      <c r="B106" s="106">
        <v>1</v>
      </c>
    </row>
    <row r="107" spans="1:2" ht="15">
      <c r="A107" s="119" t="s">
        <v>11596</v>
      </c>
      <c r="B107" s="106">
        <v>1</v>
      </c>
    </row>
    <row r="108" spans="1:2" ht="15">
      <c r="A108" s="117" t="s">
        <v>11597</v>
      </c>
      <c r="B108" s="106">
        <v>9</v>
      </c>
    </row>
    <row r="109" spans="1:2" ht="15">
      <c r="A109" s="118" t="s">
        <v>11598</v>
      </c>
      <c r="B109" s="106">
        <v>1</v>
      </c>
    </row>
    <row r="110" spans="1:2" ht="15">
      <c r="A110" s="119" t="s">
        <v>11573</v>
      </c>
      <c r="B110" s="106">
        <v>1</v>
      </c>
    </row>
    <row r="111" spans="1:2" ht="15">
      <c r="A111" s="118" t="s">
        <v>11599</v>
      </c>
      <c r="B111" s="106">
        <v>1</v>
      </c>
    </row>
    <row r="112" spans="1:2" ht="15">
      <c r="A112" s="119" t="s">
        <v>11540</v>
      </c>
      <c r="B112" s="106">
        <v>1</v>
      </c>
    </row>
    <row r="113" spans="1:2" ht="15">
      <c r="A113" s="118" t="s">
        <v>11600</v>
      </c>
      <c r="B113" s="106">
        <v>1</v>
      </c>
    </row>
    <row r="114" spans="1:2" ht="15">
      <c r="A114" s="119" t="s">
        <v>11540</v>
      </c>
      <c r="B114" s="106">
        <v>1</v>
      </c>
    </row>
    <row r="115" spans="1:2" ht="15">
      <c r="A115" s="118" t="s">
        <v>11601</v>
      </c>
      <c r="B115" s="106">
        <v>2</v>
      </c>
    </row>
    <row r="116" spans="1:2" ht="15">
      <c r="A116" s="119" t="s">
        <v>11544</v>
      </c>
      <c r="B116" s="106">
        <v>1</v>
      </c>
    </row>
    <row r="117" spans="1:2" ht="15">
      <c r="A117" s="119" t="s">
        <v>11602</v>
      </c>
      <c r="B117" s="106">
        <v>1</v>
      </c>
    </row>
    <row r="118" spans="1:2" ht="15">
      <c r="A118" s="118" t="s">
        <v>11603</v>
      </c>
      <c r="B118" s="106">
        <v>1</v>
      </c>
    </row>
    <row r="119" spans="1:2" ht="15">
      <c r="A119" s="119" t="s">
        <v>11555</v>
      </c>
      <c r="B119" s="106">
        <v>1</v>
      </c>
    </row>
    <row r="120" spans="1:2" ht="15">
      <c r="A120" s="118" t="s">
        <v>11604</v>
      </c>
      <c r="B120" s="106">
        <v>1</v>
      </c>
    </row>
    <row r="121" spans="1:2" ht="15">
      <c r="A121" s="119" t="s">
        <v>11560</v>
      </c>
      <c r="B121" s="106">
        <v>1</v>
      </c>
    </row>
    <row r="122" spans="1:2" ht="15">
      <c r="A122" s="118" t="s">
        <v>11605</v>
      </c>
      <c r="B122" s="106">
        <v>1</v>
      </c>
    </row>
    <row r="123" spans="1:2" ht="15">
      <c r="A123" s="119" t="s">
        <v>11544</v>
      </c>
      <c r="B123" s="106">
        <v>1</v>
      </c>
    </row>
    <row r="124" spans="1:2" ht="15">
      <c r="A124" s="118" t="s">
        <v>11606</v>
      </c>
      <c r="B124" s="106">
        <v>1</v>
      </c>
    </row>
    <row r="125" spans="1:2" ht="15">
      <c r="A125" s="119" t="s">
        <v>11594</v>
      </c>
      <c r="B125" s="106">
        <v>1</v>
      </c>
    </row>
    <row r="126" spans="1:2" ht="15">
      <c r="A126" s="117" t="s">
        <v>11607</v>
      </c>
      <c r="B126" s="106">
        <v>3</v>
      </c>
    </row>
    <row r="127" spans="1:2" ht="15">
      <c r="A127" s="118" t="s">
        <v>11608</v>
      </c>
      <c r="B127" s="106">
        <v>1</v>
      </c>
    </row>
    <row r="128" spans="1:2" ht="15">
      <c r="A128" s="119" t="s">
        <v>11552</v>
      </c>
      <c r="B128" s="106">
        <v>1</v>
      </c>
    </row>
    <row r="129" spans="1:2" ht="15">
      <c r="A129" s="118" t="s">
        <v>11609</v>
      </c>
      <c r="B129" s="106">
        <v>1</v>
      </c>
    </row>
    <row r="130" spans="1:2" ht="15">
      <c r="A130" s="119" t="s">
        <v>11550</v>
      </c>
      <c r="B130" s="106">
        <v>1</v>
      </c>
    </row>
    <row r="131" spans="1:2" ht="15">
      <c r="A131" s="118" t="s">
        <v>11610</v>
      </c>
      <c r="B131" s="106">
        <v>1</v>
      </c>
    </row>
    <row r="132" spans="1:2" ht="15">
      <c r="A132" s="119" t="s">
        <v>11540</v>
      </c>
      <c r="B132" s="106">
        <v>1</v>
      </c>
    </row>
    <row r="133" spans="1:2" ht="15">
      <c r="A133" s="117" t="s">
        <v>11611</v>
      </c>
      <c r="B133" s="106">
        <v>13</v>
      </c>
    </row>
    <row r="134" spans="1:2" ht="15">
      <c r="A134" s="118" t="s">
        <v>11612</v>
      </c>
      <c r="B134" s="106">
        <v>1</v>
      </c>
    </row>
    <row r="135" spans="1:2" ht="15">
      <c r="A135" s="119" t="s">
        <v>11550</v>
      </c>
      <c r="B135" s="106">
        <v>1</v>
      </c>
    </row>
    <row r="136" spans="1:2" ht="15">
      <c r="A136" s="118" t="s">
        <v>11613</v>
      </c>
      <c r="B136" s="106">
        <v>2</v>
      </c>
    </row>
    <row r="137" spans="1:2" ht="15">
      <c r="A137" s="119" t="s">
        <v>11573</v>
      </c>
      <c r="B137" s="106">
        <v>2</v>
      </c>
    </row>
    <row r="138" spans="1:2" ht="15">
      <c r="A138" s="118" t="s">
        <v>11614</v>
      </c>
      <c r="B138" s="106">
        <v>1</v>
      </c>
    </row>
    <row r="139" spans="1:2" ht="15">
      <c r="A139" s="119" t="s">
        <v>11573</v>
      </c>
      <c r="B139" s="106">
        <v>1</v>
      </c>
    </row>
    <row r="140" spans="1:2" ht="15">
      <c r="A140" s="118" t="s">
        <v>11615</v>
      </c>
      <c r="B140" s="106">
        <v>1</v>
      </c>
    </row>
    <row r="141" spans="1:2" ht="15">
      <c r="A141" s="119" t="s">
        <v>11596</v>
      </c>
      <c r="B141" s="106">
        <v>1</v>
      </c>
    </row>
    <row r="142" spans="1:2" ht="15">
      <c r="A142" s="118" t="s">
        <v>11616</v>
      </c>
      <c r="B142" s="106">
        <v>1</v>
      </c>
    </row>
    <row r="143" spans="1:2" ht="15">
      <c r="A143" s="119" t="s">
        <v>11540</v>
      </c>
      <c r="B143" s="106">
        <v>1</v>
      </c>
    </row>
    <row r="144" spans="1:2" ht="15">
      <c r="A144" s="118" t="s">
        <v>11617</v>
      </c>
      <c r="B144" s="106">
        <v>1</v>
      </c>
    </row>
    <row r="145" spans="1:2" ht="15">
      <c r="A145" s="119" t="s">
        <v>11585</v>
      </c>
      <c r="B145" s="106">
        <v>1</v>
      </c>
    </row>
    <row r="146" spans="1:2" ht="15">
      <c r="A146" s="118" t="s">
        <v>11618</v>
      </c>
      <c r="B146" s="106">
        <v>1</v>
      </c>
    </row>
    <row r="147" spans="1:2" ht="15">
      <c r="A147" s="119" t="s">
        <v>11544</v>
      </c>
      <c r="B147" s="106">
        <v>1</v>
      </c>
    </row>
    <row r="148" spans="1:2" ht="15">
      <c r="A148" s="118" t="s">
        <v>11619</v>
      </c>
      <c r="B148" s="106">
        <v>2</v>
      </c>
    </row>
    <row r="149" spans="1:2" ht="15">
      <c r="A149" s="119" t="s">
        <v>11620</v>
      </c>
      <c r="B149" s="106">
        <v>1</v>
      </c>
    </row>
    <row r="150" spans="1:2" ht="15">
      <c r="A150" s="119" t="s">
        <v>11587</v>
      </c>
      <c r="B150" s="106">
        <v>1</v>
      </c>
    </row>
    <row r="151" spans="1:2" ht="15">
      <c r="A151" s="118" t="s">
        <v>11621</v>
      </c>
      <c r="B151" s="106">
        <v>1</v>
      </c>
    </row>
    <row r="152" spans="1:2" ht="15">
      <c r="A152" s="119" t="s">
        <v>11544</v>
      </c>
      <c r="B152" s="106">
        <v>1</v>
      </c>
    </row>
    <row r="153" spans="1:2" ht="15">
      <c r="A153" s="118" t="s">
        <v>11622</v>
      </c>
      <c r="B153" s="106">
        <v>2</v>
      </c>
    </row>
    <row r="154" spans="1:2" ht="15">
      <c r="A154" s="119" t="s">
        <v>11569</v>
      </c>
      <c r="B154" s="106">
        <v>1</v>
      </c>
    </row>
    <row r="155" spans="1:2" ht="15">
      <c r="A155" s="119" t="s">
        <v>11555</v>
      </c>
      <c r="B155" s="106">
        <v>1</v>
      </c>
    </row>
    <row r="156" spans="1:2" ht="15">
      <c r="A156" s="117" t="s">
        <v>11623</v>
      </c>
      <c r="B156" s="106">
        <v>8</v>
      </c>
    </row>
    <row r="157" spans="1:2" ht="15">
      <c r="A157" s="118" t="s">
        <v>11624</v>
      </c>
      <c r="B157" s="106">
        <v>1</v>
      </c>
    </row>
    <row r="158" spans="1:2" ht="15">
      <c r="A158" s="119" t="s">
        <v>11569</v>
      </c>
      <c r="B158" s="106">
        <v>1</v>
      </c>
    </row>
    <row r="159" spans="1:2" ht="15">
      <c r="A159" s="118" t="s">
        <v>11625</v>
      </c>
      <c r="B159" s="106">
        <v>2</v>
      </c>
    </row>
    <row r="160" spans="1:2" ht="15">
      <c r="A160" s="119" t="s">
        <v>11550</v>
      </c>
      <c r="B160" s="106">
        <v>2</v>
      </c>
    </row>
    <row r="161" spans="1:2" ht="15">
      <c r="A161" s="118" t="s">
        <v>11626</v>
      </c>
      <c r="B161" s="106">
        <v>1</v>
      </c>
    </row>
    <row r="162" spans="1:2" ht="15">
      <c r="A162" s="119" t="s">
        <v>11627</v>
      </c>
      <c r="B162" s="106">
        <v>1</v>
      </c>
    </row>
    <row r="163" spans="1:2" ht="15">
      <c r="A163" s="118" t="s">
        <v>11628</v>
      </c>
      <c r="B163" s="106">
        <v>1</v>
      </c>
    </row>
    <row r="164" spans="1:2" ht="15">
      <c r="A164" s="119" t="s">
        <v>11629</v>
      </c>
      <c r="B164" s="106">
        <v>1</v>
      </c>
    </row>
    <row r="165" spans="1:2" ht="15">
      <c r="A165" s="118" t="s">
        <v>11630</v>
      </c>
      <c r="B165" s="106">
        <v>1</v>
      </c>
    </row>
    <row r="166" spans="1:2" ht="15">
      <c r="A166" s="119" t="s">
        <v>11540</v>
      </c>
      <c r="B166" s="106">
        <v>1</v>
      </c>
    </row>
    <row r="167" spans="1:2" ht="15">
      <c r="A167" s="118" t="s">
        <v>11631</v>
      </c>
      <c r="B167" s="106">
        <v>2</v>
      </c>
    </row>
    <row r="168" spans="1:2" ht="15">
      <c r="A168" s="119" t="s">
        <v>11555</v>
      </c>
      <c r="B168" s="106">
        <v>1</v>
      </c>
    </row>
    <row r="169" spans="1:2" ht="15">
      <c r="A169" s="119" t="s">
        <v>11540</v>
      </c>
      <c r="B169" s="106">
        <v>1</v>
      </c>
    </row>
    <row r="170" spans="1:2" ht="15">
      <c r="A170" s="117" t="s">
        <v>11632</v>
      </c>
      <c r="B170" s="106">
        <v>6</v>
      </c>
    </row>
    <row r="171" spans="1:2" ht="15">
      <c r="A171" s="118" t="s">
        <v>11633</v>
      </c>
      <c r="B171" s="106">
        <v>1</v>
      </c>
    </row>
    <row r="172" spans="1:2" ht="15">
      <c r="A172" s="119" t="s">
        <v>11592</v>
      </c>
      <c r="B172" s="106">
        <v>1</v>
      </c>
    </row>
    <row r="173" spans="1:2" ht="15">
      <c r="A173" s="118" t="s">
        <v>11634</v>
      </c>
      <c r="B173" s="106">
        <v>1</v>
      </c>
    </row>
    <row r="174" spans="1:2" ht="15">
      <c r="A174" s="119" t="s">
        <v>11573</v>
      </c>
      <c r="B174" s="106">
        <v>1</v>
      </c>
    </row>
    <row r="175" spans="1:2" ht="15">
      <c r="A175" s="118" t="s">
        <v>11635</v>
      </c>
      <c r="B175" s="106">
        <v>1</v>
      </c>
    </row>
    <row r="176" spans="1:2" ht="15">
      <c r="A176" s="119" t="s">
        <v>11540</v>
      </c>
      <c r="B176" s="106">
        <v>1</v>
      </c>
    </row>
    <row r="177" spans="1:2" ht="15">
      <c r="A177" s="118" t="s">
        <v>11636</v>
      </c>
      <c r="B177" s="106">
        <v>1</v>
      </c>
    </row>
    <row r="178" spans="1:2" ht="15">
      <c r="A178" s="119" t="s">
        <v>11552</v>
      </c>
      <c r="B178" s="106">
        <v>1</v>
      </c>
    </row>
    <row r="179" spans="1:2" ht="15">
      <c r="A179" s="118" t="s">
        <v>11637</v>
      </c>
      <c r="B179" s="106">
        <v>1</v>
      </c>
    </row>
    <row r="180" spans="1:2" ht="15">
      <c r="A180" s="119" t="s">
        <v>11554</v>
      </c>
      <c r="B180" s="106">
        <v>1</v>
      </c>
    </row>
    <row r="181" spans="1:2" ht="15">
      <c r="A181" s="118" t="s">
        <v>11638</v>
      </c>
      <c r="B181" s="106">
        <v>1</v>
      </c>
    </row>
    <row r="182" spans="1:2" ht="15">
      <c r="A182" s="119" t="s">
        <v>11544</v>
      </c>
      <c r="B182" s="106">
        <v>1</v>
      </c>
    </row>
    <row r="183" spans="1:2" ht="15">
      <c r="A183" s="116" t="s">
        <v>11639</v>
      </c>
      <c r="B183" s="106">
        <v>60</v>
      </c>
    </row>
    <row r="184" spans="1:2" ht="15">
      <c r="A184" s="117" t="s">
        <v>11538</v>
      </c>
      <c r="B184" s="106">
        <v>60</v>
      </c>
    </row>
    <row r="185" spans="1:2" ht="15">
      <c r="A185" s="118" t="s">
        <v>11539</v>
      </c>
      <c r="B185" s="106">
        <v>2</v>
      </c>
    </row>
    <row r="186" spans="1:2" ht="15">
      <c r="A186" s="119" t="s">
        <v>11557</v>
      </c>
      <c r="B186" s="106">
        <v>1</v>
      </c>
    </row>
    <row r="187" spans="1:2" ht="15">
      <c r="A187" s="119" t="s">
        <v>11540</v>
      </c>
      <c r="B187" s="106">
        <v>1</v>
      </c>
    </row>
    <row r="188" spans="1:2" ht="15">
      <c r="A188" s="118" t="s">
        <v>11640</v>
      </c>
      <c r="B188" s="106">
        <v>1</v>
      </c>
    </row>
    <row r="189" spans="1:2" ht="15">
      <c r="A189" s="119" t="s">
        <v>11594</v>
      </c>
      <c r="B189" s="106">
        <v>1</v>
      </c>
    </row>
    <row r="190" spans="1:2" ht="15">
      <c r="A190" s="118" t="s">
        <v>11641</v>
      </c>
      <c r="B190" s="106">
        <v>1</v>
      </c>
    </row>
    <row r="191" spans="1:2" ht="15">
      <c r="A191" s="119" t="s">
        <v>11596</v>
      </c>
      <c r="B191" s="106">
        <v>1</v>
      </c>
    </row>
    <row r="192" spans="1:2" ht="15">
      <c r="A192" s="118" t="s">
        <v>11543</v>
      </c>
      <c r="B192" s="106">
        <v>2</v>
      </c>
    </row>
    <row r="193" spans="1:2" ht="15">
      <c r="A193" s="119" t="s">
        <v>11554</v>
      </c>
      <c r="B193" s="106">
        <v>1</v>
      </c>
    </row>
    <row r="194" spans="1:2" ht="15">
      <c r="A194" s="119" t="s">
        <v>11550</v>
      </c>
      <c r="B194" s="106">
        <v>1</v>
      </c>
    </row>
    <row r="195" spans="1:2" ht="15">
      <c r="A195" s="118" t="s">
        <v>11642</v>
      </c>
      <c r="B195" s="106">
        <v>1</v>
      </c>
    </row>
    <row r="196" spans="1:2" ht="15">
      <c r="A196" s="119" t="s">
        <v>11540</v>
      </c>
      <c r="B196" s="106">
        <v>1</v>
      </c>
    </row>
    <row r="197" spans="1:2" ht="15">
      <c r="A197" s="118" t="s">
        <v>11643</v>
      </c>
      <c r="B197" s="106">
        <v>1</v>
      </c>
    </row>
    <row r="198" spans="1:2" ht="15">
      <c r="A198" s="119" t="s">
        <v>11602</v>
      </c>
      <c r="B198" s="106">
        <v>1</v>
      </c>
    </row>
    <row r="199" spans="1:2" ht="15">
      <c r="A199" s="118" t="s">
        <v>11546</v>
      </c>
      <c r="B199" s="106">
        <v>3</v>
      </c>
    </row>
    <row r="200" spans="1:2" ht="15">
      <c r="A200" s="119" t="s">
        <v>11587</v>
      </c>
      <c r="B200" s="106">
        <v>2</v>
      </c>
    </row>
    <row r="201" spans="1:2" ht="15">
      <c r="A201" s="119" t="s">
        <v>11547</v>
      </c>
      <c r="B201" s="106">
        <v>1</v>
      </c>
    </row>
    <row r="202" spans="1:2" ht="15">
      <c r="A202" s="118" t="s">
        <v>11644</v>
      </c>
      <c r="B202" s="106">
        <v>9</v>
      </c>
    </row>
    <row r="203" spans="1:2" ht="15">
      <c r="A203" s="119" t="s">
        <v>11552</v>
      </c>
      <c r="B203" s="106">
        <v>1</v>
      </c>
    </row>
    <row r="204" spans="1:2" ht="15">
      <c r="A204" s="119" t="s">
        <v>11542</v>
      </c>
      <c r="B204" s="106">
        <v>1</v>
      </c>
    </row>
    <row r="205" spans="1:2" ht="15">
      <c r="A205" s="119" t="s">
        <v>11585</v>
      </c>
      <c r="B205" s="106">
        <v>1</v>
      </c>
    </row>
    <row r="206" spans="1:2" ht="15">
      <c r="A206" s="119" t="s">
        <v>11594</v>
      </c>
      <c r="B206" s="106">
        <v>3</v>
      </c>
    </row>
    <row r="207" spans="1:2" ht="15">
      <c r="A207" s="119" t="s">
        <v>11596</v>
      </c>
      <c r="B207" s="106">
        <v>1</v>
      </c>
    </row>
    <row r="208" spans="1:2" ht="15">
      <c r="A208" s="119" t="s">
        <v>11573</v>
      </c>
      <c r="B208" s="106">
        <v>1</v>
      </c>
    </row>
    <row r="209" spans="1:2" ht="15">
      <c r="A209" s="119" t="s">
        <v>11569</v>
      </c>
      <c r="B209" s="106">
        <v>1</v>
      </c>
    </row>
    <row r="210" spans="1:2" ht="15">
      <c r="A210" s="118" t="s">
        <v>11645</v>
      </c>
      <c r="B210" s="106">
        <v>6</v>
      </c>
    </row>
    <row r="211" spans="1:2" ht="15">
      <c r="A211" s="119" t="s">
        <v>11585</v>
      </c>
      <c r="B211" s="106">
        <v>2</v>
      </c>
    </row>
    <row r="212" spans="1:2" ht="15">
      <c r="A212" s="119" t="s">
        <v>11596</v>
      </c>
      <c r="B212" s="106">
        <v>1</v>
      </c>
    </row>
    <row r="213" spans="1:2" ht="15">
      <c r="A213" s="119" t="s">
        <v>11573</v>
      </c>
      <c r="B213" s="106">
        <v>1</v>
      </c>
    </row>
    <row r="214" spans="1:2" ht="15">
      <c r="A214" s="119" t="s">
        <v>11569</v>
      </c>
      <c r="B214" s="106">
        <v>2</v>
      </c>
    </row>
    <row r="215" spans="1:2" ht="15">
      <c r="A215" s="118" t="s">
        <v>11646</v>
      </c>
      <c r="B215" s="106">
        <v>6</v>
      </c>
    </row>
    <row r="216" spans="1:2" ht="15">
      <c r="A216" s="119" t="s">
        <v>11554</v>
      </c>
      <c r="B216" s="106">
        <v>1</v>
      </c>
    </row>
    <row r="217" spans="1:2" ht="15">
      <c r="A217" s="119" t="s">
        <v>11620</v>
      </c>
      <c r="B217" s="106">
        <v>1</v>
      </c>
    </row>
    <row r="218" spans="1:2" ht="15">
      <c r="A218" s="119" t="s">
        <v>11594</v>
      </c>
      <c r="B218" s="106">
        <v>1</v>
      </c>
    </row>
    <row r="219" spans="1:2" ht="15">
      <c r="A219" s="119" t="s">
        <v>11557</v>
      </c>
      <c r="B219" s="106">
        <v>1</v>
      </c>
    </row>
    <row r="220" spans="1:2" ht="15">
      <c r="A220" s="119" t="s">
        <v>11547</v>
      </c>
      <c r="B220" s="106">
        <v>1</v>
      </c>
    </row>
    <row r="221" spans="1:2" ht="15">
      <c r="A221" s="119" t="s">
        <v>11555</v>
      </c>
      <c r="B221" s="106">
        <v>1</v>
      </c>
    </row>
    <row r="222" spans="1:2" ht="15">
      <c r="A222" s="118" t="s">
        <v>11647</v>
      </c>
      <c r="B222" s="106">
        <v>6</v>
      </c>
    </row>
    <row r="223" spans="1:2" ht="15">
      <c r="A223" s="119" t="s">
        <v>11554</v>
      </c>
      <c r="B223" s="106">
        <v>2</v>
      </c>
    </row>
    <row r="224" spans="1:2" ht="15">
      <c r="A224" s="119" t="s">
        <v>11585</v>
      </c>
      <c r="B224" s="106">
        <v>1</v>
      </c>
    </row>
    <row r="225" spans="1:2" ht="15">
      <c r="A225" s="119" t="s">
        <v>11565</v>
      </c>
      <c r="B225" s="106">
        <v>1</v>
      </c>
    </row>
    <row r="226" spans="1:2" ht="15">
      <c r="A226" s="119" t="s">
        <v>11550</v>
      </c>
      <c r="B226" s="106">
        <v>1</v>
      </c>
    </row>
    <row r="227" spans="1:2" ht="15">
      <c r="A227" s="119" t="s">
        <v>11540</v>
      </c>
      <c r="B227" s="106">
        <v>1</v>
      </c>
    </row>
    <row r="228" spans="1:2" ht="15">
      <c r="A228" s="118" t="s">
        <v>11648</v>
      </c>
      <c r="B228" s="106">
        <v>5</v>
      </c>
    </row>
    <row r="229" spans="1:2" ht="15">
      <c r="A229" s="119" t="s">
        <v>11544</v>
      </c>
      <c r="B229" s="106">
        <v>1</v>
      </c>
    </row>
    <row r="230" spans="1:2" ht="15">
      <c r="A230" s="119" t="s">
        <v>11542</v>
      </c>
      <c r="B230" s="106">
        <v>1</v>
      </c>
    </row>
    <row r="231" spans="1:2" ht="15">
      <c r="A231" s="119" t="s">
        <v>11629</v>
      </c>
      <c r="B231" s="106">
        <v>1</v>
      </c>
    </row>
    <row r="232" spans="1:2" ht="15">
      <c r="A232" s="119" t="s">
        <v>11569</v>
      </c>
      <c r="B232" s="106">
        <v>1</v>
      </c>
    </row>
    <row r="233" spans="1:2" ht="15">
      <c r="A233" s="119" t="s">
        <v>11555</v>
      </c>
      <c r="B233" s="106">
        <v>1</v>
      </c>
    </row>
    <row r="234" spans="1:2" ht="15">
      <c r="A234" s="118" t="s">
        <v>11649</v>
      </c>
      <c r="B234" s="106">
        <v>6</v>
      </c>
    </row>
    <row r="235" spans="1:2" ht="15">
      <c r="A235" s="119" t="s">
        <v>11592</v>
      </c>
      <c r="B235" s="106">
        <v>2</v>
      </c>
    </row>
    <row r="236" spans="1:2" ht="15">
      <c r="A236" s="119" t="s">
        <v>11573</v>
      </c>
      <c r="B236" s="106">
        <v>1</v>
      </c>
    </row>
    <row r="237" spans="1:2" ht="15">
      <c r="A237" s="119" t="s">
        <v>11569</v>
      </c>
      <c r="B237" s="106">
        <v>2</v>
      </c>
    </row>
    <row r="238" spans="1:2" ht="15">
      <c r="A238" s="119" t="s">
        <v>11557</v>
      </c>
      <c r="B238" s="106">
        <v>1</v>
      </c>
    </row>
    <row r="239" spans="1:2" ht="15">
      <c r="A239" s="118" t="s">
        <v>11650</v>
      </c>
      <c r="B239" s="106">
        <v>8</v>
      </c>
    </row>
    <row r="240" spans="1:2" ht="15">
      <c r="A240" s="119" t="s">
        <v>11592</v>
      </c>
      <c r="B240" s="106">
        <v>1</v>
      </c>
    </row>
    <row r="241" spans="1:2" ht="15">
      <c r="A241" s="119" t="s">
        <v>11627</v>
      </c>
      <c r="B241" s="106">
        <v>1</v>
      </c>
    </row>
    <row r="242" spans="1:2" ht="15">
      <c r="A242" s="119" t="s">
        <v>11596</v>
      </c>
      <c r="B242" s="106">
        <v>1</v>
      </c>
    </row>
    <row r="243" spans="1:2" ht="15">
      <c r="A243" s="119" t="s">
        <v>11569</v>
      </c>
      <c r="B243" s="106">
        <v>1</v>
      </c>
    </row>
    <row r="244" spans="1:2" ht="15">
      <c r="A244" s="119" t="s">
        <v>11557</v>
      </c>
      <c r="B244" s="106">
        <v>2</v>
      </c>
    </row>
    <row r="245" spans="1:2" ht="15">
      <c r="A245" s="119" t="s">
        <v>11547</v>
      </c>
      <c r="B245" s="106">
        <v>1</v>
      </c>
    </row>
    <row r="246" spans="1:2" ht="15">
      <c r="A246" s="119" t="s">
        <v>11555</v>
      </c>
      <c r="B246" s="106">
        <v>1</v>
      </c>
    </row>
    <row r="247" spans="1:2" ht="15">
      <c r="A247" s="118" t="s">
        <v>11651</v>
      </c>
      <c r="B247" s="106">
        <v>3</v>
      </c>
    </row>
    <row r="248" spans="1:2" ht="15">
      <c r="A248" s="119" t="s">
        <v>11592</v>
      </c>
      <c r="B248" s="106">
        <v>2</v>
      </c>
    </row>
    <row r="249" spans="1:2" ht="15">
      <c r="A249" s="119" t="s">
        <v>11550</v>
      </c>
      <c r="B249" s="106">
        <v>1</v>
      </c>
    </row>
    <row r="250" spans="1:2" ht="15">
      <c r="A250" s="116" t="s">
        <v>11536</v>
      </c>
      <c r="B250" s="106">
        <v>141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20"/>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17.57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11689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1291</v>
      </c>
      <c r="AF2" s="7" t="s">
        <v>1292</v>
      </c>
      <c r="AG2" s="7" t="s">
        <v>1293</v>
      </c>
      <c r="AH2" s="7" t="s">
        <v>1294</v>
      </c>
      <c r="AI2" s="7" t="s">
        <v>1295</v>
      </c>
      <c r="AJ2" s="7" t="s">
        <v>1296</v>
      </c>
      <c r="AK2" s="7" t="s">
        <v>1297</v>
      </c>
      <c r="AL2" s="7" t="s">
        <v>1298</v>
      </c>
      <c r="AM2" s="7" t="s">
        <v>1299</v>
      </c>
      <c r="AN2" s="7" t="s">
        <v>1300</v>
      </c>
      <c r="AO2" s="7" t="s">
        <v>1301</v>
      </c>
      <c r="AP2" s="7" t="s">
        <v>1302</v>
      </c>
      <c r="AQ2" s="7" t="s">
        <v>1303</v>
      </c>
      <c r="AR2" s="7" t="s">
        <v>1304</v>
      </c>
      <c r="AS2" s="7" t="s">
        <v>1305</v>
      </c>
      <c r="AT2" s="7" t="s">
        <v>1306</v>
      </c>
      <c r="AU2" s="7" t="s">
        <v>1307</v>
      </c>
      <c r="AV2" s="7" t="s">
        <v>1308</v>
      </c>
      <c r="AW2" s="7" t="s">
        <v>1309</v>
      </c>
      <c r="AX2" s="7" t="s">
        <v>1310</v>
      </c>
      <c r="AY2" s="7" t="s">
        <v>1311</v>
      </c>
      <c r="AZ2" s="7" t="s">
        <v>1312</v>
      </c>
      <c r="BA2" s="7" t="s">
        <v>1313</v>
      </c>
      <c r="BB2" s="7" t="s">
        <v>1314</v>
      </c>
      <c r="BC2" s="7" t="s">
        <v>1315</v>
      </c>
      <c r="BD2" s="7" t="s">
        <v>1316</v>
      </c>
      <c r="BE2" s="7" t="s">
        <v>1317</v>
      </c>
      <c r="BF2" s="7" t="s">
        <v>1318</v>
      </c>
      <c r="BG2" s="7" t="s">
        <v>1319</v>
      </c>
      <c r="BH2" s="7" t="s">
        <v>196</v>
      </c>
      <c r="BI2" s="7" t="s">
        <v>1320</v>
      </c>
      <c r="BJ2" s="7" t="s">
        <v>1321</v>
      </c>
      <c r="BK2" s="7" t="s">
        <v>1322</v>
      </c>
      <c r="BL2" s="7" t="s">
        <v>1323</v>
      </c>
      <c r="BM2" s="7" t="s">
        <v>1324</v>
      </c>
      <c r="BN2" s="7" t="s">
        <v>1325</v>
      </c>
      <c r="BO2" s="7" t="s">
        <v>1326</v>
      </c>
      <c r="BP2" s="7" t="s">
        <v>1327</v>
      </c>
      <c r="BQ2" s="7" t="s">
        <v>2425</v>
      </c>
      <c r="BR2" s="110" t="s">
        <v>2812</v>
      </c>
      <c r="BS2" s="110" t="s">
        <v>2813</v>
      </c>
      <c r="BT2" s="110" t="s">
        <v>2814</v>
      </c>
      <c r="BU2" s="110" t="s">
        <v>2815</v>
      </c>
      <c r="BV2" s="110" t="s">
        <v>2816</v>
      </c>
      <c r="BW2" s="110" t="s">
        <v>2817</v>
      </c>
      <c r="BX2" s="110" t="s">
        <v>2818</v>
      </c>
      <c r="BY2" s="110" t="s">
        <v>2819</v>
      </c>
      <c r="BZ2" s="110" t="s">
        <v>2821</v>
      </c>
      <c r="CA2" s="110" t="s">
        <v>11259</v>
      </c>
      <c r="CB2" s="110" t="s">
        <v>11263</v>
      </c>
      <c r="CC2" s="110" t="s">
        <v>11267</v>
      </c>
      <c r="CD2" s="110" t="s">
        <v>11270</v>
      </c>
      <c r="CE2" s="110" t="s">
        <v>11272</v>
      </c>
      <c r="CF2" s="110" t="s">
        <v>11273</v>
      </c>
      <c r="CG2" s="110" t="s">
        <v>11279</v>
      </c>
      <c r="CH2" s="110" t="s">
        <v>11397</v>
      </c>
      <c r="CI2" s="110" t="s">
        <v>11408</v>
      </c>
      <c r="CJ2" s="110" t="s">
        <v>11526</v>
      </c>
    </row>
    <row r="3" spans="1:88" ht="41.45" customHeight="1">
      <c r="A3" s="61" t="s">
        <v>319</v>
      </c>
      <c r="C3" s="62"/>
      <c r="D3" s="62" t="s">
        <v>64</v>
      </c>
      <c r="E3" s="63">
        <v>70</v>
      </c>
      <c r="F3" s="65"/>
      <c r="G3" s="101" t="str">
        <f>HYPERLINK("https://pbs.twimg.com/profile_images/1659705770706083841/rThMHHyx_normal.jpg")</f>
        <v>https://pbs.twimg.com/profile_images/1659705770706083841/rThMHHyx_normal.jpg</v>
      </c>
      <c r="H3" s="62"/>
      <c r="I3" s="66" t="s">
        <v>319</v>
      </c>
      <c r="J3" s="67"/>
      <c r="K3" s="67" t="s">
        <v>75</v>
      </c>
      <c r="L3" s="66" t="s">
        <v>2273</v>
      </c>
      <c r="M3" s="70">
        <v>1</v>
      </c>
      <c r="N3" s="71">
        <v>3009.541015625</v>
      </c>
      <c r="O3" s="71">
        <v>7592.31787109375</v>
      </c>
      <c r="P3" s="72"/>
      <c r="Q3" s="73"/>
      <c r="R3" s="73"/>
      <c r="S3" s="87"/>
      <c r="T3" s="45">
        <v>0</v>
      </c>
      <c r="U3" s="45">
        <v>9</v>
      </c>
      <c r="V3" s="46">
        <v>104</v>
      </c>
      <c r="W3" s="46">
        <v>0.043698</v>
      </c>
      <c r="X3" s="46">
        <v>0.37906</v>
      </c>
      <c r="Y3" s="46">
        <v>0.009192</v>
      </c>
      <c r="Z3" s="46">
        <v>0</v>
      </c>
      <c r="AA3" s="46">
        <v>0</v>
      </c>
      <c r="AB3" s="68">
        <v>182</v>
      </c>
      <c r="AC3" s="68"/>
      <c r="AD3" s="69"/>
      <c r="AE3" s="76" t="s">
        <v>1505</v>
      </c>
      <c r="AF3" s="80" t="s">
        <v>1279</v>
      </c>
      <c r="AG3" s="76">
        <v>4089</v>
      </c>
      <c r="AH3" s="76">
        <v>4549</v>
      </c>
      <c r="AI3" s="76">
        <v>77620</v>
      </c>
      <c r="AJ3" s="76">
        <v>4</v>
      </c>
      <c r="AK3" s="76">
        <v>65754</v>
      </c>
      <c r="AL3" s="76">
        <v>29702</v>
      </c>
      <c r="AM3" s="76" t="b">
        <v>0</v>
      </c>
      <c r="AN3" s="78">
        <v>42681.02548611111</v>
      </c>
      <c r="AO3" s="76" t="s">
        <v>1733</v>
      </c>
      <c r="AP3" s="76" t="s">
        <v>1920</v>
      </c>
      <c r="AQ3" s="76"/>
      <c r="AR3" s="76"/>
      <c r="AS3" s="76"/>
      <c r="AT3" s="76"/>
      <c r="AU3" s="76"/>
      <c r="AV3" s="76"/>
      <c r="AW3" s="76">
        <v>1.39377809826968E+18</v>
      </c>
      <c r="AX3" s="76"/>
      <c r="AY3" s="76" t="b">
        <v>0</v>
      </c>
      <c r="AZ3" s="76"/>
      <c r="BA3" s="76"/>
      <c r="BB3" s="76" t="b">
        <v>1</v>
      </c>
      <c r="BC3" s="76" t="b">
        <v>1</v>
      </c>
      <c r="BD3" s="76" t="b">
        <v>1</v>
      </c>
      <c r="BE3" s="76" t="b">
        <v>0</v>
      </c>
      <c r="BF3" s="76" t="b">
        <v>0</v>
      </c>
      <c r="BG3" s="76" t="b">
        <v>0</v>
      </c>
      <c r="BH3" s="76" t="b">
        <v>0</v>
      </c>
      <c r="BI3" s="82" t="str">
        <f>HYPERLINK("https://pbs.twimg.com/profile_banners/795424702747418624/1649834578")</f>
        <v>https://pbs.twimg.com/profile_banners/795424702747418624/1649834578</v>
      </c>
      <c r="BJ3" s="76"/>
      <c r="BK3" s="76" t="s">
        <v>2092</v>
      </c>
      <c r="BL3" s="76" t="b">
        <v>0</v>
      </c>
      <c r="BM3" s="76"/>
      <c r="BN3" s="76" t="s">
        <v>66</v>
      </c>
      <c r="BO3" s="76" t="s">
        <v>2094</v>
      </c>
      <c r="BP3" s="82" t="str">
        <f>HYPERLINK("https://twitter.com/hardlee73")</f>
        <v>https://twitter.com/hardlee73</v>
      </c>
      <c r="BQ3" s="76" t="str">
        <f>REPLACE(INDEX(GroupVertices[Group],MATCH("~"&amp;Vertices[[#This Row],[Vertex]],GroupVertices[Vertex],0)),1,1,"")</f>
        <v>3</v>
      </c>
      <c r="BR3" s="45">
        <v>2</v>
      </c>
      <c r="BS3" s="46">
        <v>2.197802197802198</v>
      </c>
      <c r="BT3" s="45">
        <v>7</v>
      </c>
      <c r="BU3" s="46">
        <v>7.6923076923076925</v>
      </c>
      <c r="BV3" s="45">
        <v>0</v>
      </c>
      <c r="BW3" s="46">
        <v>0</v>
      </c>
      <c r="BX3" s="45">
        <v>46</v>
      </c>
      <c r="BY3" s="46">
        <v>50.54945054945055</v>
      </c>
      <c r="BZ3" s="45">
        <v>91</v>
      </c>
      <c r="CA3" s="45"/>
      <c r="CB3" s="45"/>
      <c r="CC3" s="45"/>
      <c r="CD3" s="45"/>
      <c r="CE3" s="45"/>
      <c r="CF3" s="45"/>
      <c r="CG3" s="114" t="s">
        <v>11379</v>
      </c>
      <c r="CH3" s="114" t="s">
        <v>11379</v>
      </c>
      <c r="CI3" s="114" t="s">
        <v>11508</v>
      </c>
      <c r="CJ3" s="114" t="s">
        <v>11508</v>
      </c>
    </row>
    <row r="4" spans="1:89" ht="41.45" customHeight="1">
      <c r="A4" s="61" t="s">
        <v>350</v>
      </c>
      <c r="C4" s="62"/>
      <c r="D4" s="62" t="s">
        <v>64</v>
      </c>
      <c r="E4" s="63">
        <v>70</v>
      </c>
      <c r="F4" s="65"/>
      <c r="G4" s="101" t="str">
        <f>HYPERLINK("https://pbs.twimg.com/profile_images/1285991091213234177/A_M3JBl9_normal.jpg")</f>
        <v>https://pbs.twimg.com/profile_images/1285991091213234177/A_M3JBl9_normal.jpg</v>
      </c>
      <c r="H4" s="62"/>
      <c r="I4" s="66" t="s">
        <v>350</v>
      </c>
      <c r="J4" s="67"/>
      <c r="K4" s="67" t="s">
        <v>75</v>
      </c>
      <c r="L4" s="66" t="s">
        <v>2118</v>
      </c>
      <c r="M4" s="70">
        <v>9999</v>
      </c>
      <c r="N4" s="71">
        <v>890.5322875976562</v>
      </c>
      <c r="O4" s="71">
        <v>2023.4515380859375</v>
      </c>
      <c r="P4" s="72"/>
      <c r="Q4" s="73"/>
      <c r="R4" s="73"/>
      <c r="S4" s="87"/>
      <c r="T4" s="45">
        <v>5</v>
      </c>
      <c r="U4" s="45">
        <v>0</v>
      </c>
      <c r="V4" s="46">
        <v>88</v>
      </c>
      <c r="W4" s="46">
        <v>0.023312</v>
      </c>
      <c r="X4" s="46">
        <v>0</v>
      </c>
      <c r="Y4" s="46">
        <v>0.00646</v>
      </c>
      <c r="Z4" s="46">
        <v>0</v>
      </c>
      <c r="AA4" s="46">
        <v>0</v>
      </c>
      <c r="AB4" s="68">
        <v>27</v>
      </c>
      <c r="AC4" s="68"/>
      <c r="AD4" s="69"/>
      <c r="AE4" s="76" t="s">
        <v>1351</v>
      </c>
      <c r="AF4" s="80" t="s">
        <v>1151</v>
      </c>
      <c r="AG4" s="76">
        <v>4721</v>
      </c>
      <c r="AH4" s="76">
        <v>1866</v>
      </c>
      <c r="AI4" s="76">
        <v>26815</v>
      </c>
      <c r="AJ4" s="76">
        <v>58</v>
      </c>
      <c r="AK4" s="76">
        <v>46572</v>
      </c>
      <c r="AL4" s="76">
        <v>2263</v>
      </c>
      <c r="AM4" s="76" t="b">
        <v>0</v>
      </c>
      <c r="AN4" s="78">
        <v>41304.9396875</v>
      </c>
      <c r="AO4" s="76" t="s">
        <v>1658</v>
      </c>
      <c r="AP4" s="76" t="s">
        <v>1772</v>
      </c>
      <c r="AQ4" s="82" t="str">
        <f>HYPERLINK("https://t.co/BQKa9j6z3t")</f>
        <v>https://t.co/BQKa9j6z3t</v>
      </c>
      <c r="AR4" s="82" t="str">
        <f>HYPERLINK("https://campsite.bio/oregoncitizen")</f>
        <v>https://campsite.bio/oregoncitizen</v>
      </c>
      <c r="AS4" s="76" t="s">
        <v>1965</v>
      </c>
      <c r="AT4" s="76"/>
      <c r="AU4" s="76"/>
      <c r="AV4" s="76"/>
      <c r="AW4" s="76">
        <v>1.7502321086087E+18</v>
      </c>
      <c r="AX4" s="82" t="str">
        <f>HYPERLINK("https://t.co/BQKa9j6z3t")</f>
        <v>https://t.co/BQKa9j6z3t</v>
      </c>
      <c r="AY4" s="76" t="b">
        <v>1</v>
      </c>
      <c r="AZ4" s="76"/>
      <c r="BA4" s="76"/>
      <c r="BB4" s="76" t="b">
        <v>0</v>
      </c>
      <c r="BC4" s="76" t="b">
        <v>0</v>
      </c>
      <c r="BD4" s="76" t="b">
        <v>1</v>
      </c>
      <c r="BE4" s="76" t="b">
        <v>0</v>
      </c>
      <c r="BF4" s="76" t="b">
        <v>1</v>
      </c>
      <c r="BG4" s="76" t="b">
        <v>0</v>
      </c>
      <c r="BH4" s="76" t="b">
        <v>0</v>
      </c>
      <c r="BI4" s="82" t="str">
        <f>HYPERLINK("https://pbs.twimg.com/profile_banners/1135368066/1703398026")</f>
        <v>https://pbs.twimg.com/profile_banners/1135368066/1703398026</v>
      </c>
      <c r="BJ4" s="76"/>
      <c r="BK4" s="76" t="s">
        <v>2092</v>
      </c>
      <c r="BL4" s="76" t="b">
        <v>0</v>
      </c>
      <c r="BM4" s="76"/>
      <c r="BN4" s="76" t="s">
        <v>66</v>
      </c>
      <c r="BO4" s="76" t="s">
        <v>2094</v>
      </c>
      <c r="BP4" s="82" t="str">
        <f>HYPERLINK("https://twitter.com/oregoncitizen_")</f>
        <v>https://twitter.com/oregoncitizen_</v>
      </c>
      <c r="BQ4" s="76" t="str">
        <f>REPLACE(INDEX(GroupVertices[Group],MATCH("~"&amp;Vertices[[#This Row],[Vertex]],GroupVertices[Vertex],0)),1,1,"")</f>
        <v>2</v>
      </c>
      <c r="BR4" s="45"/>
      <c r="BS4" s="46"/>
      <c r="BT4" s="45"/>
      <c r="BU4" s="46"/>
      <c r="BV4" s="45"/>
      <c r="BW4" s="46"/>
      <c r="BX4" s="45"/>
      <c r="BY4" s="46"/>
      <c r="BZ4" s="45"/>
      <c r="CA4" s="45"/>
      <c r="CB4" s="45"/>
      <c r="CC4" s="45"/>
      <c r="CD4" s="45"/>
      <c r="CE4" s="45"/>
      <c r="CF4" s="45"/>
      <c r="CG4" s="45"/>
      <c r="CH4" s="45"/>
      <c r="CI4" s="45"/>
      <c r="CJ4" s="45"/>
      <c r="CK4" s="2"/>
    </row>
    <row r="5" spans="1:89" ht="41.45" customHeight="1">
      <c r="A5" s="61" t="s">
        <v>246</v>
      </c>
      <c r="C5" s="62"/>
      <c r="D5" s="62" t="s">
        <v>64</v>
      </c>
      <c r="E5" s="63">
        <v>70</v>
      </c>
      <c r="F5" s="65"/>
      <c r="G5" s="101" t="str">
        <f>HYPERLINK("https://pbs.twimg.com/profile_images/1691930509339967488/75q8qq0c_normal.jpg")</f>
        <v>https://pbs.twimg.com/profile_images/1691930509339967488/75q8qq0c_normal.jpg</v>
      </c>
      <c r="H5" s="62"/>
      <c r="I5" s="66" t="s">
        <v>246</v>
      </c>
      <c r="J5" s="67"/>
      <c r="K5" s="67" t="s">
        <v>75</v>
      </c>
      <c r="L5" s="66" t="s">
        <v>2146</v>
      </c>
      <c r="M5" s="70">
        <v>1</v>
      </c>
      <c r="N5" s="71">
        <v>1324.60986328125</v>
      </c>
      <c r="O5" s="71">
        <v>1691.1297607421875</v>
      </c>
      <c r="P5" s="72"/>
      <c r="Q5" s="73"/>
      <c r="R5" s="73"/>
      <c r="S5" s="87"/>
      <c r="T5" s="45">
        <v>0</v>
      </c>
      <c r="U5" s="45">
        <v>3</v>
      </c>
      <c r="V5" s="46">
        <v>82</v>
      </c>
      <c r="W5" s="46">
        <v>0.024145</v>
      </c>
      <c r="X5" s="46">
        <v>0</v>
      </c>
      <c r="Y5" s="46">
        <v>0.00504</v>
      </c>
      <c r="Z5" s="46">
        <v>0</v>
      </c>
      <c r="AA5" s="46">
        <v>0</v>
      </c>
      <c r="AB5" s="68">
        <v>55</v>
      </c>
      <c r="AC5" s="68"/>
      <c r="AD5" s="69"/>
      <c r="AE5" s="76" t="s">
        <v>1379</v>
      </c>
      <c r="AF5" s="80" t="s">
        <v>1246</v>
      </c>
      <c r="AG5" s="76">
        <v>878</v>
      </c>
      <c r="AH5" s="76">
        <v>634</v>
      </c>
      <c r="AI5" s="76">
        <v>50753</v>
      </c>
      <c r="AJ5" s="76">
        <v>4</v>
      </c>
      <c r="AK5" s="76">
        <v>129089</v>
      </c>
      <c r="AL5" s="76">
        <v>721</v>
      </c>
      <c r="AM5" s="76" t="b">
        <v>0</v>
      </c>
      <c r="AN5" s="78">
        <v>43486.85228009259</v>
      </c>
      <c r="AO5" s="76" t="s">
        <v>1673</v>
      </c>
      <c r="AP5" s="76" t="s">
        <v>1798</v>
      </c>
      <c r="AQ5" s="76"/>
      <c r="AR5" s="76"/>
      <c r="AS5" s="76"/>
      <c r="AT5" s="76"/>
      <c r="AU5" s="76"/>
      <c r="AV5" s="76"/>
      <c r="AW5" s="76">
        <v>1.10242350202656E+18</v>
      </c>
      <c r="AX5" s="76"/>
      <c r="AY5" s="76" t="b">
        <v>0</v>
      </c>
      <c r="AZ5" s="76"/>
      <c r="BA5" s="76"/>
      <c r="BB5" s="76" t="b">
        <v>0</v>
      </c>
      <c r="BC5" s="76" t="b">
        <v>1</v>
      </c>
      <c r="BD5" s="76" t="b">
        <v>1</v>
      </c>
      <c r="BE5" s="76" t="b">
        <v>0</v>
      </c>
      <c r="BF5" s="76" t="b">
        <v>1</v>
      </c>
      <c r="BG5" s="76" t="b">
        <v>0</v>
      </c>
      <c r="BH5" s="76" t="b">
        <v>0</v>
      </c>
      <c r="BI5" s="82" t="str">
        <f>HYPERLINK("https://pbs.twimg.com/profile_banners/1087446557610336256/1654881328")</f>
        <v>https://pbs.twimg.com/profile_banners/1087446557610336256/1654881328</v>
      </c>
      <c r="BJ5" s="76"/>
      <c r="BK5" s="76" t="s">
        <v>2092</v>
      </c>
      <c r="BL5" s="76" t="b">
        <v>0</v>
      </c>
      <c r="BM5" s="76"/>
      <c r="BN5" s="76" t="s">
        <v>66</v>
      </c>
      <c r="BO5" s="76" t="s">
        <v>2094</v>
      </c>
      <c r="BP5" s="82" t="str">
        <f>HYPERLINK("https://twitter.com/sfmission2")</f>
        <v>https://twitter.com/sfmission2</v>
      </c>
      <c r="BQ5" s="76" t="str">
        <f>REPLACE(INDEX(GroupVertices[Group],MATCH("~"&amp;Vertices[[#This Row],[Vertex]],GroupVertices[Vertex],0)),1,1,"")</f>
        <v>2</v>
      </c>
      <c r="BR5" s="45">
        <v>2</v>
      </c>
      <c r="BS5" s="46">
        <v>3.125</v>
      </c>
      <c r="BT5" s="45">
        <v>3</v>
      </c>
      <c r="BU5" s="46">
        <v>4.6875</v>
      </c>
      <c r="BV5" s="45">
        <v>0</v>
      </c>
      <c r="BW5" s="46">
        <v>0</v>
      </c>
      <c r="BX5" s="45">
        <v>30</v>
      </c>
      <c r="BY5" s="46">
        <v>46.875</v>
      </c>
      <c r="BZ5" s="45">
        <v>64</v>
      </c>
      <c r="CA5" s="45"/>
      <c r="CB5" s="45"/>
      <c r="CC5" s="45"/>
      <c r="CD5" s="45"/>
      <c r="CE5" s="45"/>
      <c r="CF5" s="45"/>
      <c r="CG5" s="114" t="s">
        <v>11308</v>
      </c>
      <c r="CH5" s="114" t="s">
        <v>11401</v>
      </c>
      <c r="CI5" s="114" t="s">
        <v>11437</v>
      </c>
      <c r="CJ5" s="114" t="s">
        <v>11529</v>
      </c>
      <c r="CK5" s="2"/>
    </row>
    <row r="6" spans="1:89" ht="41.45" customHeight="1">
      <c r="A6" s="61" t="s">
        <v>298</v>
      </c>
      <c r="C6" s="62"/>
      <c r="D6" s="62" t="s">
        <v>64</v>
      </c>
      <c r="E6" s="63">
        <v>70</v>
      </c>
      <c r="F6" s="65"/>
      <c r="G6" s="101" t="str">
        <f>HYPERLINK("https://pbs.twimg.com/profile_images/1727494961816641536/XZDMCCa0_normal.jpg")</f>
        <v>https://pbs.twimg.com/profile_images/1727494961816641536/XZDMCCa0_normal.jpg</v>
      </c>
      <c r="H6" s="62"/>
      <c r="I6" s="66" t="s">
        <v>298</v>
      </c>
      <c r="J6" s="67"/>
      <c r="K6" s="67" t="s">
        <v>75</v>
      </c>
      <c r="L6" s="66" t="s">
        <v>2148</v>
      </c>
      <c r="M6" s="70">
        <v>5999.8</v>
      </c>
      <c r="N6" s="71">
        <v>1224.5294189453125</v>
      </c>
      <c r="O6" s="71">
        <v>1331.2275390625</v>
      </c>
      <c r="P6" s="72"/>
      <c r="Q6" s="73"/>
      <c r="R6" s="73"/>
      <c r="S6" s="87"/>
      <c r="T6" s="45">
        <v>3</v>
      </c>
      <c r="U6" s="45">
        <v>1</v>
      </c>
      <c r="V6" s="46">
        <v>64</v>
      </c>
      <c r="W6" s="46">
        <v>0.021808</v>
      </c>
      <c r="X6" s="46">
        <v>0</v>
      </c>
      <c r="Y6" s="46">
        <v>0.004807</v>
      </c>
      <c r="Z6" s="46">
        <v>0</v>
      </c>
      <c r="AA6" s="46">
        <v>0</v>
      </c>
      <c r="AB6" s="68">
        <v>57</v>
      </c>
      <c r="AC6" s="68"/>
      <c r="AD6" s="69"/>
      <c r="AE6" s="76" t="s">
        <v>1381</v>
      </c>
      <c r="AF6" s="80" t="s">
        <v>1568</v>
      </c>
      <c r="AG6" s="76">
        <v>2529</v>
      </c>
      <c r="AH6" s="76">
        <v>668</v>
      </c>
      <c r="AI6" s="76">
        <v>2475</v>
      </c>
      <c r="AJ6" s="76">
        <v>23</v>
      </c>
      <c r="AK6" s="76">
        <v>1620</v>
      </c>
      <c r="AL6" s="76">
        <v>647</v>
      </c>
      <c r="AM6" s="76" t="b">
        <v>0</v>
      </c>
      <c r="AN6" s="78">
        <v>40674.70980324074</v>
      </c>
      <c r="AO6" s="76" t="s">
        <v>1675</v>
      </c>
      <c r="AP6" s="76" t="s">
        <v>1799</v>
      </c>
      <c r="AQ6" s="82" t="str">
        <f>HYPERLINK("https://t.co/TSiAhW1Rjq")</f>
        <v>https://t.co/TSiAhW1Rjq</v>
      </c>
      <c r="AR6" s="82" t="str">
        <f>HYPERLINK("http://www.tootiesmith.com")</f>
        <v>http://www.tootiesmith.com</v>
      </c>
      <c r="AS6" s="76" t="s">
        <v>1979</v>
      </c>
      <c r="AT6" s="76"/>
      <c r="AU6" s="76"/>
      <c r="AV6" s="76"/>
      <c r="AW6" s="76"/>
      <c r="AX6" s="82" t="str">
        <f>HYPERLINK("https://t.co/TSiAhW1Rjq")</f>
        <v>https://t.co/TSiAhW1Rjq</v>
      </c>
      <c r="AY6" s="76" t="b">
        <v>0</v>
      </c>
      <c r="AZ6" s="76"/>
      <c r="BA6" s="76"/>
      <c r="BB6" s="76" t="b">
        <v>0</v>
      </c>
      <c r="BC6" s="76" t="b">
        <v>1</v>
      </c>
      <c r="BD6" s="76" t="b">
        <v>0</v>
      </c>
      <c r="BE6" s="76" t="b">
        <v>0</v>
      </c>
      <c r="BF6" s="76" t="b">
        <v>1</v>
      </c>
      <c r="BG6" s="76" t="b">
        <v>0</v>
      </c>
      <c r="BH6" s="76" t="b">
        <v>0</v>
      </c>
      <c r="BI6" s="82" t="str">
        <f>HYPERLINK("https://pbs.twimg.com/profile_banners/296937534/1698353399")</f>
        <v>https://pbs.twimg.com/profile_banners/296937534/1698353399</v>
      </c>
      <c r="BJ6" s="76"/>
      <c r="BK6" s="76" t="s">
        <v>2092</v>
      </c>
      <c r="BL6" s="76" t="b">
        <v>0</v>
      </c>
      <c r="BM6" s="76"/>
      <c r="BN6" s="76" t="s">
        <v>66</v>
      </c>
      <c r="BO6" s="76" t="s">
        <v>2094</v>
      </c>
      <c r="BP6" s="82" t="str">
        <f>HYPERLINK("https://twitter.com/smithtootie")</f>
        <v>https://twitter.com/smithtootie</v>
      </c>
      <c r="BQ6" s="76" t="str">
        <f>REPLACE(INDEX(GroupVertices[Group],MATCH("~"&amp;Vertices[[#This Row],[Vertex]],GroupVertices[Vertex],0)),1,1,"")</f>
        <v>2</v>
      </c>
      <c r="BR6" s="45">
        <v>2</v>
      </c>
      <c r="BS6" s="46">
        <v>6.0606060606060606</v>
      </c>
      <c r="BT6" s="45">
        <v>1</v>
      </c>
      <c r="BU6" s="46">
        <v>3.0303030303030303</v>
      </c>
      <c r="BV6" s="45">
        <v>0</v>
      </c>
      <c r="BW6" s="46">
        <v>0</v>
      </c>
      <c r="BX6" s="45">
        <v>12</v>
      </c>
      <c r="BY6" s="46">
        <v>36.36363636363637</v>
      </c>
      <c r="BZ6" s="45">
        <v>33</v>
      </c>
      <c r="CA6" s="45" t="s">
        <v>11008</v>
      </c>
      <c r="CB6" s="45" t="s">
        <v>11008</v>
      </c>
      <c r="CC6" s="45" t="s">
        <v>612</v>
      </c>
      <c r="CD6" s="45" t="s">
        <v>612</v>
      </c>
      <c r="CE6" s="45"/>
      <c r="CF6" s="45"/>
      <c r="CG6" s="114" t="s">
        <v>11309</v>
      </c>
      <c r="CH6" s="114" t="s">
        <v>11309</v>
      </c>
      <c r="CI6" s="114" t="s">
        <v>11438</v>
      </c>
      <c r="CJ6" s="114" t="s">
        <v>11438</v>
      </c>
      <c r="CK6" s="2"/>
    </row>
    <row r="7" spans="1:89" ht="41.45" customHeight="1">
      <c r="A7" s="61" t="s">
        <v>265</v>
      </c>
      <c r="C7" s="62"/>
      <c r="D7" s="62" t="s">
        <v>64</v>
      </c>
      <c r="E7" s="63">
        <v>70</v>
      </c>
      <c r="F7" s="65"/>
      <c r="G7" s="101" t="str">
        <f>HYPERLINK("https://pbs.twimg.com/profile_images/1586113785034838017/1IjvbCSZ_normal.jpg")</f>
        <v>https://pbs.twimg.com/profile_images/1586113785034838017/1IjvbCSZ_normal.jpg</v>
      </c>
      <c r="H7" s="62"/>
      <c r="I7" s="66" t="s">
        <v>265</v>
      </c>
      <c r="J7" s="67"/>
      <c r="K7" s="67" t="s">
        <v>75</v>
      </c>
      <c r="L7" s="66" t="s">
        <v>2180</v>
      </c>
      <c r="M7" s="70">
        <v>1</v>
      </c>
      <c r="N7" s="71">
        <v>1204.1693115234375</v>
      </c>
      <c r="O7" s="71">
        <v>987.0489501953125</v>
      </c>
      <c r="P7" s="72"/>
      <c r="Q7" s="73"/>
      <c r="R7" s="73"/>
      <c r="S7" s="87"/>
      <c r="T7" s="45">
        <v>0</v>
      </c>
      <c r="U7" s="45">
        <v>2</v>
      </c>
      <c r="V7" s="46">
        <v>54</v>
      </c>
      <c r="W7" s="46">
        <v>0.018779</v>
      </c>
      <c r="X7" s="46">
        <v>0</v>
      </c>
      <c r="Y7" s="46">
        <v>0.004564</v>
      </c>
      <c r="Z7" s="46">
        <v>0</v>
      </c>
      <c r="AA7" s="46">
        <v>0</v>
      </c>
      <c r="AB7" s="68">
        <v>89</v>
      </c>
      <c r="AC7" s="68"/>
      <c r="AD7" s="69"/>
      <c r="AE7" s="76" t="s">
        <v>1413</v>
      </c>
      <c r="AF7" s="80" t="s">
        <v>1255</v>
      </c>
      <c r="AG7" s="76">
        <v>13</v>
      </c>
      <c r="AH7" s="76">
        <v>49</v>
      </c>
      <c r="AI7" s="76">
        <v>215</v>
      </c>
      <c r="AJ7" s="76">
        <v>0</v>
      </c>
      <c r="AK7" s="76">
        <v>174</v>
      </c>
      <c r="AL7" s="76">
        <v>12</v>
      </c>
      <c r="AM7" s="76" t="b">
        <v>0</v>
      </c>
      <c r="AN7" s="78">
        <v>44862.90263888889</v>
      </c>
      <c r="AO7" s="76" t="s">
        <v>1677</v>
      </c>
      <c r="AP7" s="76" t="s">
        <v>1831</v>
      </c>
      <c r="AQ7" s="82" t="str">
        <f>HYPERLINK("https://t.co/M1ESwqLPEf")</f>
        <v>https://t.co/M1ESwqLPEf</v>
      </c>
      <c r="AR7" s="82" t="str">
        <f>HYPERLINK("https://maxbelousov.gg")</f>
        <v>https://maxbelousov.gg</v>
      </c>
      <c r="AS7" s="76" t="s">
        <v>1994</v>
      </c>
      <c r="AT7" s="76"/>
      <c r="AU7" s="76"/>
      <c r="AV7" s="76"/>
      <c r="AW7" s="76"/>
      <c r="AX7" s="82" t="str">
        <f>HYPERLINK("https://t.co/M1ESwqLPEf")</f>
        <v>https://t.co/M1ESwqLPEf</v>
      </c>
      <c r="AY7" s="76" t="b">
        <v>0</v>
      </c>
      <c r="AZ7" s="76"/>
      <c r="BA7" s="76"/>
      <c r="BB7" s="76" t="b">
        <v>0</v>
      </c>
      <c r="BC7" s="76" t="b">
        <v>1</v>
      </c>
      <c r="BD7" s="76" t="b">
        <v>1</v>
      </c>
      <c r="BE7" s="76" t="b">
        <v>0</v>
      </c>
      <c r="BF7" s="76" t="b">
        <v>0</v>
      </c>
      <c r="BG7" s="76" t="b">
        <v>0</v>
      </c>
      <c r="BH7" s="76" t="b">
        <v>0</v>
      </c>
      <c r="BI7" s="76"/>
      <c r="BJ7" s="76"/>
      <c r="BK7" s="76" t="s">
        <v>2092</v>
      </c>
      <c r="BL7" s="76" t="b">
        <v>0</v>
      </c>
      <c r="BM7" s="76"/>
      <c r="BN7" s="76" t="s">
        <v>66</v>
      </c>
      <c r="BO7" s="76" t="s">
        <v>2094</v>
      </c>
      <c r="BP7" s="82" t="str">
        <f>HYPERLINK("https://twitter.com/maxbelousovgg")</f>
        <v>https://twitter.com/maxbelousovgg</v>
      </c>
      <c r="BQ7" s="76" t="str">
        <f>REPLACE(INDEX(GroupVertices[Group],MATCH("~"&amp;Vertices[[#This Row],[Vertex]],GroupVertices[Vertex],0)),1,1,"")</f>
        <v>2</v>
      </c>
      <c r="BR7" s="45">
        <v>1</v>
      </c>
      <c r="BS7" s="46">
        <v>9.090909090909092</v>
      </c>
      <c r="BT7" s="45">
        <v>1</v>
      </c>
      <c r="BU7" s="46">
        <v>9.090909090909092</v>
      </c>
      <c r="BV7" s="45">
        <v>0</v>
      </c>
      <c r="BW7" s="46">
        <v>0</v>
      </c>
      <c r="BX7" s="45">
        <v>4</v>
      </c>
      <c r="BY7" s="46">
        <v>36.36363636363637</v>
      </c>
      <c r="BZ7" s="45">
        <v>11</v>
      </c>
      <c r="CA7" s="45"/>
      <c r="CB7" s="45"/>
      <c r="CC7" s="45"/>
      <c r="CD7" s="45"/>
      <c r="CE7" s="45"/>
      <c r="CF7" s="45"/>
      <c r="CG7" s="114" t="s">
        <v>11329</v>
      </c>
      <c r="CH7" s="114" t="s">
        <v>11329</v>
      </c>
      <c r="CI7" s="114" t="s">
        <v>11458</v>
      </c>
      <c r="CJ7" s="114" t="s">
        <v>11458</v>
      </c>
      <c r="CK7" s="2"/>
    </row>
    <row r="8" spans="1:89" ht="41.45" customHeight="1">
      <c r="A8" s="61" t="s">
        <v>376</v>
      </c>
      <c r="C8" s="62"/>
      <c r="D8" s="62" t="s">
        <v>64</v>
      </c>
      <c r="E8" s="63">
        <v>70</v>
      </c>
      <c r="F8" s="65"/>
      <c r="G8" s="101" t="str">
        <f>HYPERLINK("https://pbs.twimg.com/profile_images/591670128661508097/kYiFFOgm_normal.png")</f>
        <v>https://pbs.twimg.com/profile_images/591670128661508097/kYiFFOgm_normal.png</v>
      </c>
      <c r="H8" s="62"/>
      <c r="I8" s="66" t="s">
        <v>376</v>
      </c>
      <c r="J8" s="67"/>
      <c r="K8" s="67" t="s">
        <v>75</v>
      </c>
      <c r="L8" s="66" t="s">
        <v>2181</v>
      </c>
      <c r="M8" s="70">
        <v>4000.2</v>
      </c>
      <c r="N8" s="71">
        <v>1180.84228515625</v>
      </c>
      <c r="O8" s="71">
        <v>650.1439819335938</v>
      </c>
      <c r="P8" s="72"/>
      <c r="Q8" s="73"/>
      <c r="R8" s="73"/>
      <c r="S8" s="87"/>
      <c r="T8" s="45">
        <v>2</v>
      </c>
      <c r="U8" s="45">
        <v>0</v>
      </c>
      <c r="V8" s="46">
        <v>40</v>
      </c>
      <c r="W8" s="46">
        <v>0.015722</v>
      </c>
      <c r="X8" s="46">
        <v>0</v>
      </c>
      <c r="Y8" s="46">
        <v>0.004687</v>
      </c>
      <c r="Z8" s="46">
        <v>0</v>
      </c>
      <c r="AA8" s="46">
        <v>0</v>
      </c>
      <c r="AB8" s="68">
        <v>90</v>
      </c>
      <c r="AC8" s="68"/>
      <c r="AD8" s="69"/>
      <c r="AE8" s="76" t="s">
        <v>1414</v>
      </c>
      <c r="AF8" s="80" t="s">
        <v>1585</v>
      </c>
      <c r="AG8" s="76">
        <v>84651</v>
      </c>
      <c r="AH8" s="76">
        <v>495</v>
      </c>
      <c r="AI8" s="76">
        <v>26331</v>
      </c>
      <c r="AJ8" s="76">
        <v>1406</v>
      </c>
      <c r="AK8" s="76">
        <v>2599</v>
      </c>
      <c r="AL8" s="76">
        <v>3390</v>
      </c>
      <c r="AM8" s="76" t="b">
        <v>0</v>
      </c>
      <c r="AN8" s="78">
        <v>39818.823275462964</v>
      </c>
      <c r="AO8" s="76" t="s">
        <v>1686</v>
      </c>
      <c r="AP8" s="76" t="s">
        <v>1832</v>
      </c>
      <c r="AQ8" s="82" t="str">
        <f>HYPERLINK("http://t.co/ikr9fhC1Ii")</f>
        <v>http://t.co/ikr9fhC1Ii</v>
      </c>
      <c r="AR8" s="82" t="str">
        <f>HYPERLINK("http://www.oregon.gov/ODOT")</f>
        <v>http://www.oregon.gov/ODOT</v>
      </c>
      <c r="AS8" s="76" t="s">
        <v>1995</v>
      </c>
      <c r="AT8" s="82" t="str">
        <f>HYPERLINK("https://t.co/JFOgsHrxum")</f>
        <v>https://t.co/JFOgsHrxum</v>
      </c>
      <c r="AU8" s="82" t="str">
        <f>HYPERLINK("http://TripCheck.com")</f>
        <v>http://TripCheck.com</v>
      </c>
      <c r="AV8" s="76" t="s">
        <v>2075</v>
      </c>
      <c r="AW8" s="76"/>
      <c r="AX8" s="82" t="str">
        <f>HYPERLINK("http://t.co/ikr9fhC1Ii")</f>
        <v>http://t.co/ikr9fhC1Ii</v>
      </c>
      <c r="AY8" s="76" t="b">
        <v>0</v>
      </c>
      <c r="AZ8" s="76"/>
      <c r="BA8" s="76"/>
      <c r="BB8" s="76" t="b">
        <v>0</v>
      </c>
      <c r="BC8" s="76" t="b">
        <v>1</v>
      </c>
      <c r="BD8" s="76" t="b">
        <v>0</v>
      </c>
      <c r="BE8" s="76" t="b">
        <v>0</v>
      </c>
      <c r="BF8" s="76" t="b">
        <v>1</v>
      </c>
      <c r="BG8" s="76" t="b">
        <v>0</v>
      </c>
      <c r="BH8" s="76" t="b">
        <v>0</v>
      </c>
      <c r="BI8" s="82" t="str">
        <f>HYPERLINK("https://pbs.twimg.com/profile_banners/18642669/1434757834")</f>
        <v>https://pbs.twimg.com/profile_banners/18642669/1434757834</v>
      </c>
      <c r="BJ8" s="76"/>
      <c r="BK8" s="76" t="s">
        <v>2092</v>
      </c>
      <c r="BL8" s="76" t="b">
        <v>0</v>
      </c>
      <c r="BM8" s="76"/>
      <c r="BN8" s="76" t="s">
        <v>65</v>
      </c>
      <c r="BO8" s="76" t="s">
        <v>2094</v>
      </c>
      <c r="BP8" s="82" t="str">
        <f>HYPERLINK("https://twitter.com/oregondot")</f>
        <v>https://twitter.com/oregondot</v>
      </c>
      <c r="BQ8" s="76" t="str">
        <f>REPLACE(INDEX(GroupVertices[Group],MATCH("~"&amp;Vertices[[#This Row],[Vertex]],GroupVertices[Vertex],0)),1,1,"")</f>
        <v>2</v>
      </c>
      <c r="BR8" s="45"/>
      <c r="BS8" s="46"/>
      <c r="BT8" s="45"/>
      <c r="BU8" s="46"/>
      <c r="BV8" s="45"/>
      <c r="BW8" s="46"/>
      <c r="BX8" s="45"/>
      <c r="BY8" s="46"/>
      <c r="BZ8" s="45"/>
      <c r="CA8" s="45"/>
      <c r="CB8" s="45"/>
      <c r="CC8" s="45"/>
      <c r="CD8" s="45"/>
      <c r="CE8" s="45"/>
      <c r="CF8" s="45"/>
      <c r="CG8" s="45"/>
      <c r="CH8" s="45"/>
      <c r="CI8" s="45"/>
      <c r="CJ8" s="45"/>
      <c r="CK8" s="2"/>
    </row>
    <row r="9" spans="1:89" ht="41.45" customHeight="1">
      <c r="A9" s="61" t="s">
        <v>268</v>
      </c>
      <c r="C9" s="62"/>
      <c r="D9" s="62" t="s">
        <v>64</v>
      </c>
      <c r="E9" s="63">
        <v>70</v>
      </c>
      <c r="F9" s="65"/>
      <c r="G9" s="101" t="str">
        <f>HYPERLINK("https://pbs.twimg.com/profile_images/873324219630854144/-7ZzOONo_normal.jpg")</f>
        <v>https://pbs.twimg.com/profile_images/873324219630854144/-7ZzOONo_normal.jpg</v>
      </c>
      <c r="H9" s="62"/>
      <c r="I9" s="66" t="s">
        <v>268</v>
      </c>
      <c r="J9" s="67"/>
      <c r="K9" s="67" t="s">
        <v>75</v>
      </c>
      <c r="L9" s="66" t="s">
        <v>2173</v>
      </c>
      <c r="M9" s="70">
        <v>4000.2</v>
      </c>
      <c r="N9" s="71">
        <v>2598.593017578125</v>
      </c>
      <c r="O9" s="71">
        <v>7872.3193359375</v>
      </c>
      <c r="P9" s="72"/>
      <c r="Q9" s="73"/>
      <c r="R9" s="73"/>
      <c r="S9" s="87"/>
      <c r="T9" s="45">
        <v>2</v>
      </c>
      <c r="U9" s="45">
        <v>1</v>
      </c>
      <c r="V9" s="46">
        <v>38</v>
      </c>
      <c r="W9" s="46">
        <v>0.029899</v>
      </c>
      <c r="X9" s="46">
        <v>0.37906</v>
      </c>
      <c r="Y9" s="46">
        <v>0.005398</v>
      </c>
      <c r="Z9" s="46">
        <v>0</v>
      </c>
      <c r="AA9" s="46">
        <v>0</v>
      </c>
      <c r="AB9" s="68">
        <v>82</v>
      </c>
      <c r="AC9" s="68"/>
      <c r="AD9" s="69"/>
      <c r="AE9" s="76" t="s">
        <v>1406</v>
      </c>
      <c r="AF9" s="80" t="s">
        <v>1582</v>
      </c>
      <c r="AG9" s="76">
        <v>486950</v>
      </c>
      <c r="AH9" s="76">
        <v>1096</v>
      </c>
      <c r="AI9" s="76">
        <v>19105</v>
      </c>
      <c r="AJ9" s="76">
        <v>4595</v>
      </c>
      <c r="AK9" s="76">
        <v>2653</v>
      </c>
      <c r="AL9" s="76">
        <v>3152</v>
      </c>
      <c r="AM9" s="76" t="b">
        <v>0</v>
      </c>
      <c r="AN9" s="78">
        <v>39909.568506944444</v>
      </c>
      <c r="AO9" s="76" t="s">
        <v>1686</v>
      </c>
      <c r="AP9" s="76" t="s">
        <v>1824</v>
      </c>
      <c r="AQ9" s="82" t="str">
        <f>HYPERLINK("https://t.co/uoOTYAkx5J")</f>
        <v>https://t.co/uoOTYAkx5J</v>
      </c>
      <c r="AR9" s="82" t="str">
        <f>HYPERLINK("http://merkley.senate.gov")</f>
        <v>http://merkley.senate.gov</v>
      </c>
      <c r="AS9" s="76" t="s">
        <v>1991</v>
      </c>
      <c r="AT9" s="76"/>
      <c r="AU9" s="76"/>
      <c r="AV9" s="76"/>
      <c r="AW9" s="76"/>
      <c r="AX9" s="82" t="str">
        <f>HYPERLINK("https://t.co/uoOTYAkx5J")</f>
        <v>https://t.co/uoOTYAkx5J</v>
      </c>
      <c r="AY9" s="76" t="b">
        <v>0</v>
      </c>
      <c r="AZ9" s="76"/>
      <c r="BA9" s="76"/>
      <c r="BB9" s="76" t="b">
        <v>0</v>
      </c>
      <c r="BC9" s="76" t="b">
        <v>0</v>
      </c>
      <c r="BD9" s="76" t="b">
        <v>0</v>
      </c>
      <c r="BE9" s="76" t="b">
        <v>0</v>
      </c>
      <c r="BF9" s="76" t="b">
        <v>1</v>
      </c>
      <c r="BG9" s="76" t="b">
        <v>0</v>
      </c>
      <c r="BH9" s="76" t="b">
        <v>0</v>
      </c>
      <c r="BI9" s="82" t="str">
        <f>HYPERLINK("https://pbs.twimg.com/profile_banners/29201047/1473699074")</f>
        <v>https://pbs.twimg.com/profile_banners/29201047/1473699074</v>
      </c>
      <c r="BJ9" s="76"/>
      <c r="BK9" s="76" t="s">
        <v>2092</v>
      </c>
      <c r="BL9" s="76" t="b">
        <v>0</v>
      </c>
      <c r="BM9" s="76"/>
      <c r="BN9" s="76" t="s">
        <v>66</v>
      </c>
      <c r="BO9" s="76" t="s">
        <v>2094</v>
      </c>
      <c r="BP9" s="82" t="str">
        <f>HYPERLINK("https://twitter.com/senjeffmerkley")</f>
        <v>https://twitter.com/senjeffmerkley</v>
      </c>
      <c r="BQ9" s="76" t="str">
        <f>REPLACE(INDEX(GroupVertices[Group],MATCH("~"&amp;Vertices[[#This Row],[Vertex]],GroupVertices[Vertex],0)),1,1,"")</f>
        <v>3</v>
      </c>
      <c r="BR9" s="45">
        <v>1</v>
      </c>
      <c r="BS9" s="46">
        <v>3.5714285714285716</v>
      </c>
      <c r="BT9" s="45">
        <v>1</v>
      </c>
      <c r="BU9" s="46">
        <v>3.5714285714285716</v>
      </c>
      <c r="BV9" s="45">
        <v>0</v>
      </c>
      <c r="BW9" s="46">
        <v>0</v>
      </c>
      <c r="BX9" s="45">
        <v>15</v>
      </c>
      <c r="BY9" s="46">
        <v>53.57142857142857</v>
      </c>
      <c r="BZ9" s="45">
        <v>28</v>
      </c>
      <c r="CA9" s="45" t="s">
        <v>11011</v>
      </c>
      <c r="CB9" s="45" t="s">
        <v>11011</v>
      </c>
      <c r="CC9" s="45" t="s">
        <v>608</v>
      </c>
      <c r="CD9" s="45" t="s">
        <v>608</v>
      </c>
      <c r="CE9" s="45"/>
      <c r="CF9" s="45"/>
      <c r="CG9" s="114" t="s">
        <v>11323</v>
      </c>
      <c r="CH9" s="114" t="s">
        <v>11323</v>
      </c>
      <c r="CI9" s="114" t="s">
        <v>11452</v>
      </c>
      <c r="CJ9" s="114" t="s">
        <v>11452</v>
      </c>
      <c r="CK9" s="2"/>
    </row>
    <row r="10" spans="1:89" ht="41.45" customHeight="1">
      <c r="A10" s="61" t="s">
        <v>288</v>
      </c>
      <c r="C10" s="62"/>
      <c r="D10" s="62" t="s">
        <v>64</v>
      </c>
      <c r="E10" s="63">
        <v>70</v>
      </c>
      <c r="F10" s="65"/>
      <c r="G10" s="101" t="str">
        <f>HYPERLINK("https://pbs.twimg.com/profile_images/577924067858104320/nB0U5RlO_normal.jpeg")</f>
        <v>https://pbs.twimg.com/profile_images/577924067858104320/nB0U5RlO_normal.jpeg</v>
      </c>
      <c r="H10" s="62"/>
      <c r="I10" s="66" t="s">
        <v>288</v>
      </c>
      <c r="J10" s="67"/>
      <c r="K10" s="67" t="s">
        <v>75</v>
      </c>
      <c r="L10" s="66" t="s">
        <v>2218</v>
      </c>
      <c r="M10" s="70">
        <v>1</v>
      </c>
      <c r="N10" s="71">
        <v>2826.44873046875</v>
      </c>
      <c r="O10" s="71">
        <v>3805.06298828125</v>
      </c>
      <c r="P10" s="72"/>
      <c r="Q10" s="73"/>
      <c r="R10" s="73"/>
      <c r="S10" s="87"/>
      <c r="T10" s="45">
        <v>0</v>
      </c>
      <c r="U10" s="45">
        <v>6</v>
      </c>
      <c r="V10" s="46">
        <v>30</v>
      </c>
      <c r="W10" s="46">
        <v>0.028169</v>
      </c>
      <c r="X10" s="46">
        <v>0</v>
      </c>
      <c r="Y10" s="46">
        <v>0.007721</v>
      </c>
      <c r="Z10" s="46">
        <v>0</v>
      </c>
      <c r="AA10" s="46">
        <v>0</v>
      </c>
      <c r="AB10" s="68">
        <v>127</v>
      </c>
      <c r="AC10" s="68"/>
      <c r="AD10" s="69"/>
      <c r="AE10" s="76" t="s">
        <v>1451</v>
      </c>
      <c r="AF10" s="80" t="s">
        <v>1600</v>
      </c>
      <c r="AG10" s="76">
        <v>320</v>
      </c>
      <c r="AH10" s="76">
        <v>694</v>
      </c>
      <c r="AI10" s="76">
        <v>22798</v>
      </c>
      <c r="AJ10" s="76">
        <v>15</v>
      </c>
      <c r="AK10" s="76">
        <v>2135</v>
      </c>
      <c r="AL10" s="76">
        <v>505</v>
      </c>
      <c r="AM10" s="76" t="b">
        <v>0</v>
      </c>
      <c r="AN10" s="78">
        <v>41330.16363425926</v>
      </c>
      <c r="AO10" s="76" t="s">
        <v>1677</v>
      </c>
      <c r="AP10" s="76" t="s">
        <v>1868</v>
      </c>
      <c r="AQ10" s="76"/>
      <c r="AR10" s="76"/>
      <c r="AS10" s="76"/>
      <c r="AT10" s="76"/>
      <c r="AU10" s="76"/>
      <c r="AV10" s="76"/>
      <c r="AW10" s="76"/>
      <c r="AX10" s="76"/>
      <c r="AY10" s="76" t="b">
        <v>0</v>
      </c>
      <c r="AZ10" s="76"/>
      <c r="BA10" s="76"/>
      <c r="BB10" s="76" t="b">
        <v>0</v>
      </c>
      <c r="BC10" s="76" t="b">
        <v>0</v>
      </c>
      <c r="BD10" s="76" t="b">
        <v>1</v>
      </c>
      <c r="BE10" s="76" t="b">
        <v>0</v>
      </c>
      <c r="BF10" s="76" t="b">
        <v>1</v>
      </c>
      <c r="BG10" s="76" t="b">
        <v>0</v>
      </c>
      <c r="BH10" s="76" t="b">
        <v>0</v>
      </c>
      <c r="BI10" s="76"/>
      <c r="BJ10" s="76"/>
      <c r="BK10" s="76" t="s">
        <v>2092</v>
      </c>
      <c r="BL10" s="76" t="b">
        <v>0</v>
      </c>
      <c r="BM10" s="76"/>
      <c r="BN10" s="76" t="s">
        <v>66</v>
      </c>
      <c r="BO10" s="76" t="s">
        <v>2094</v>
      </c>
      <c r="BP10" s="82" t="str">
        <f>HYPERLINK("https://twitter.com/art_burke")</f>
        <v>https://twitter.com/art_burke</v>
      </c>
      <c r="BQ10" s="76" t="str">
        <f>REPLACE(INDEX(GroupVertices[Group],MATCH("~"&amp;Vertices[[#This Row],[Vertex]],GroupVertices[Vertex],0)),1,1,"")</f>
        <v>4</v>
      </c>
      <c r="BR10" s="45">
        <v>6</v>
      </c>
      <c r="BS10" s="46">
        <v>6.818181818181818</v>
      </c>
      <c r="BT10" s="45">
        <v>8</v>
      </c>
      <c r="BU10" s="46">
        <v>9.090909090909092</v>
      </c>
      <c r="BV10" s="45">
        <v>0</v>
      </c>
      <c r="BW10" s="46">
        <v>0</v>
      </c>
      <c r="BX10" s="45">
        <v>48</v>
      </c>
      <c r="BY10" s="46">
        <v>54.54545454545455</v>
      </c>
      <c r="BZ10" s="45">
        <v>88</v>
      </c>
      <c r="CA10" s="45"/>
      <c r="CB10" s="45"/>
      <c r="CC10" s="45"/>
      <c r="CD10" s="45"/>
      <c r="CE10" s="45"/>
      <c r="CF10" s="45"/>
      <c r="CG10" s="114" t="s">
        <v>11351</v>
      </c>
      <c r="CH10" s="114" t="s">
        <v>11403</v>
      </c>
      <c r="CI10" s="114" t="s">
        <v>11480</v>
      </c>
      <c r="CJ10" s="114" t="s">
        <v>11531</v>
      </c>
      <c r="CK10" s="2"/>
    </row>
    <row r="11" spans="1:89" ht="41.45" customHeight="1">
      <c r="A11" s="61" t="s">
        <v>304</v>
      </c>
      <c r="C11" s="62"/>
      <c r="D11" s="62" t="s">
        <v>64</v>
      </c>
      <c r="E11" s="63">
        <v>70</v>
      </c>
      <c r="F11" s="65"/>
      <c r="G11" s="101" t="str">
        <f>HYPERLINK("https://pbs.twimg.com/profile_images/1729138548996202496/sqt-CmDG_normal.jpg")</f>
        <v>https://pbs.twimg.com/profile_images/1729138548996202496/sqt-CmDG_normal.jpg</v>
      </c>
      <c r="H11" s="62"/>
      <c r="I11" s="66" t="s">
        <v>304</v>
      </c>
      <c r="J11" s="67"/>
      <c r="K11" s="67" t="s">
        <v>75</v>
      </c>
      <c r="L11" s="66" t="s">
        <v>2107</v>
      </c>
      <c r="M11" s="70">
        <v>2000.6</v>
      </c>
      <c r="N11" s="71">
        <v>1513.7996826171875</v>
      </c>
      <c r="O11" s="71">
        <v>2320.76123046875</v>
      </c>
      <c r="P11" s="72"/>
      <c r="Q11" s="73"/>
      <c r="R11" s="73"/>
      <c r="S11" s="87"/>
      <c r="T11" s="45">
        <v>1</v>
      </c>
      <c r="U11" s="45">
        <v>1</v>
      </c>
      <c r="V11" s="46">
        <v>22</v>
      </c>
      <c r="W11" s="46">
        <v>0.017791</v>
      </c>
      <c r="X11" s="46">
        <v>0</v>
      </c>
      <c r="Y11" s="46">
        <v>0.004816</v>
      </c>
      <c r="Z11" s="46">
        <v>0</v>
      </c>
      <c r="AA11" s="46">
        <v>0</v>
      </c>
      <c r="AB11" s="68">
        <v>16</v>
      </c>
      <c r="AC11" s="68"/>
      <c r="AD11" s="69"/>
      <c r="AE11" s="76" t="s">
        <v>1340</v>
      </c>
      <c r="AF11" s="80" t="s">
        <v>1148</v>
      </c>
      <c r="AG11" s="76">
        <v>4155</v>
      </c>
      <c r="AH11" s="76">
        <v>275</v>
      </c>
      <c r="AI11" s="76">
        <v>2050</v>
      </c>
      <c r="AJ11" s="76">
        <v>35</v>
      </c>
      <c r="AK11" s="76">
        <v>8487</v>
      </c>
      <c r="AL11" s="76">
        <v>73</v>
      </c>
      <c r="AM11" s="76" t="b">
        <v>0</v>
      </c>
      <c r="AN11" s="78">
        <v>39984.83630787037</v>
      </c>
      <c r="AO11" s="76" t="s">
        <v>867</v>
      </c>
      <c r="AP11" s="76" t="s">
        <v>1761</v>
      </c>
      <c r="AQ11" s="82" t="str">
        <f>HYPERLINK("https://t.co/NkiNAvjkPn")</f>
        <v>https://t.co/NkiNAvjkPn</v>
      </c>
      <c r="AR11" s="82" t="str">
        <f>HYPERLINK("http://www.benedtl.com")</f>
        <v>http://www.benedtl.com</v>
      </c>
      <c r="AS11" s="76" t="s">
        <v>1959</v>
      </c>
      <c r="AT11" s="76"/>
      <c r="AU11" s="76"/>
      <c r="AV11" s="76"/>
      <c r="AW11" s="76">
        <v>1.74497758347603E+18</v>
      </c>
      <c r="AX11" s="82" t="str">
        <f>HYPERLINK("https://t.co/NkiNAvjkPn")</f>
        <v>https://t.co/NkiNAvjkPn</v>
      </c>
      <c r="AY11" s="76" t="b">
        <v>1</v>
      </c>
      <c r="AZ11" s="76"/>
      <c r="BA11" s="76"/>
      <c r="BB11" s="76" t="b">
        <v>1</v>
      </c>
      <c r="BC11" s="76" t="b">
        <v>1</v>
      </c>
      <c r="BD11" s="76" t="b">
        <v>0</v>
      </c>
      <c r="BE11" s="76" t="b">
        <v>0</v>
      </c>
      <c r="BF11" s="76" t="b">
        <v>1</v>
      </c>
      <c r="BG11" s="76" t="b">
        <v>0</v>
      </c>
      <c r="BH11" s="76" t="b">
        <v>0</v>
      </c>
      <c r="BI11" s="82" t="str">
        <f>HYPERLINK("https://pbs.twimg.com/profile_banners/49103785/1701093731")</f>
        <v>https://pbs.twimg.com/profile_banners/49103785/1701093731</v>
      </c>
      <c r="BJ11" s="76"/>
      <c r="BK11" s="76" t="s">
        <v>2092</v>
      </c>
      <c r="BL11" s="76" t="b">
        <v>0</v>
      </c>
      <c r="BM11" s="76"/>
      <c r="BN11" s="76" t="s">
        <v>66</v>
      </c>
      <c r="BO11" s="76" t="s">
        <v>2094</v>
      </c>
      <c r="BP11" s="82" t="str">
        <f>HYPERLINK("https://twitter.com/benedtl")</f>
        <v>https://twitter.com/benedtl</v>
      </c>
      <c r="BQ11" s="76" t="str">
        <f>REPLACE(INDEX(GroupVertices[Group],MATCH("~"&amp;Vertices[[#This Row],[Vertex]],GroupVertices[Vertex],0)),1,1,"")</f>
        <v>2</v>
      </c>
      <c r="BR11" s="45">
        <v>0</v>
      </c>
      <c r="BS11" s="46">
        <v>0</v>
      </c>
      <c r="BT11" s="45">
        <v>1</v>
      </c>
      <c r="BU11" s="46">
        <v>4.166666666666667</v>
      </c>
      <c r="BV11" s="45">
        <v>0</v>
      </c>
      <c r="BW11" s="46">
        <v>0</v>
      </c>
      <c r="BX11" s="45">
        <v>10</v>
      </c>
      <c r="BY11" s="46">
        <v>41.666666666666664</v>
      </c>
      <c r="BZ11" s="45">
        <v>24</v>
      </c>
      <c r="CA11" s="45"/>
      <c r="CB11" s="45"/>
      <c r="CC11" s="45"/>
      <c r="CD11" s="45"/>
      <c r="CE11" s="45"/>
      <c r="CF11" s="45"/>
      <c r="CG11" s="114" t="s">
        <v>11285</v>
      </c>
      <c r="CH11" s="114" t="s">
        <v>11285</v>
      </c>
      <c r="CI11" s="114" t="s">
        <v>11414</v>
      </c>
      <c r="CJ11" s="114" t="s">
        <v>11414</v>
      </c>
      <c r="CK11" s="2"/>
    </row>
    <row r="12" spans="1:89" ht="41.45" customHeight="1">
      <c r="A12" s="61" t="s">
        <v>316</v>
      </c>
      <c r="C12" s="62"/>
      <c r="D12" s="62" t="s">
        <v>64</v>
      </c>
      <c r="E12" s="63">
        <v>70</v>
      </c>
      <c r="F12" s="65"/>
      <c r="G12" s="101" t="str">
        <f>HYPERLINK("https://pbs.twimg.com/profile_images/1681120494962225152/2iGrngKt_normal.jpg")</f>
        <v>https://pbs.twimg.com/profile_images/1681120494962225152/2iGrngKt_normal.jpg</v>
      </c>
      <c r="H12" s="62"/>
      <c r="I12" s="66" t="s">
        <v>316</v>
      </c>
      <c r="J12" s="67"/>
      <c r="K12" s="67" t="s">
        <v>75</v>
      </c>
      <c r="L12" s="66" t="s">
        <v>2268</v>
      </c>
      <c r="M12" s="70">
        <v>1</v>
      </c>
      <c r="N12" s="71">
        <v>1042.3516845703125</v>
      </c>
      <c r="O12" s="71">
        <v>317.2908020019531</v>
      </c>
      <c r="P12" s="72"/>
      <c r="Q12" s="73"/>
      <c r="R12" s="73"/>
      <c r="S12" s="87"/>
      <c r="T12" s="45">
        <v>0</v>
      </c>
      <c r="U12" s="45">
        <v>2</v>
      </c>
      <c r="V12" s="46">
        <v>22</v>
      </c>
      <c r="W12" s="46">
        <v>0.013001</v>
      </c>
      <c r="X12" s="46">
        <v>0</v>
      </c>
      <c r="Y12" s="46">
        <v>0.004975</v>
      </c>
      <c r="Z12" s="46">
        <v>0</v>
      </c>
      <c r="AA12" s="46">
        <v>0</v>
      </c>
      <c r="AB12" s="68">
        <v>177</v>
      </c>
      <c r="AC12" s="68"/>
      <c r="AD12" s="69"/>
      <c r="AE12" s="76" t="s">
        <v>1501</v>
      </c>
      <c r="AF12" s="80" t="s">
        <v>1624</v>
      </c>
      <c r="AG12" s="76">
        <v>515</v>
      </c>
      <c r="AH12" s="76">
        <v>506</v>
      </c>
      <c r="AI12" s="76">
        <v>39166</v>
      </c>
      <c r="AJ12" s="76">
        <v>16</v>
      </c>
      <c r="AK12" s="76">
        <v>24177</v>
      </c>
      <c r="AL12" s="76">
        <v>1329</v>
      </c>
      <c r="AM12" s="76" t="b">
        <v>0</v>
      </c>
      <c r="AN12" s="78">
        <v>40120.899675925924</v>
      </c>
      <c r="AO12" s="76" t="s">
        <v>896</v>
      </c>
      <c r="AP12" s="76" t="s">
        <v>1915</v>
      </c>
      <c r="AQ12" s="82" t="str">
        <f>HYPERLINK("https://t.co/AtccWAtfkD")</f>
        <v>https://t.co/AtccWAtfkD</v>
      </c>
      <c r="AR12" s="82" t="str">
        <f>HYPERLINK("https://mstdn.social/@pdxblake")</f>
        <v>https://mstdn.social/@pdxblake</v>
      </c>
      <c r="AS12" s="76" t="s">
        <v>2032</v>
      </c>
      <c r="AT12" s="76"/>
      <c r="AU12" s="76"/>
      <c r="AV12" s="76"/>
      <c r="AW12" s="76"/>
      <c r="AX12" s="82" t="str">
        <f>HYPERLINK("https://t.co/AtccWAtfkD")</f>
        <v>https://t.co/AtccWAtfkD</v>
      </c>
      <c r="AY12" s="76" t="b">
        <v>0</v>
      </c>
      <c r="AZ12" s="76"/>
      <c r="BA12" s="76"/>
      <c r="BB12" s="76" t="b">
        <v>0</v>
      </c>
      <c r="BC12" s="76" t="b">
        <v>1</v>
      </c>
      <c r="BD12" s="76" t="b">
        <v>1</v>
      </c>
      <c r="BE12" s="76" t="b">
        <v>0</v>
      </c>
      <c r="BF12" s="76" t="b">
        <v>1</v>
      </c>
      <c r="BG12" s="76" t="b">
        <v>0</v>
      </c>
      <c r="BH12" s="76" t="b">
        <v>0</v>
      </c>
      <c r="BI12" s="82" t="str">
        <f>HYPERLINK("https://pbs.twimg.com/profile_banners/87288368/1494273933")</f>
        <v>https://pbs.twimg.com/profile_banners/87288368/1494273933</v>
      </c>
      <c r="BJ12" s="76"/>
      <c r="BK12" s="76" t="s">
        <v>2092</v>
      </c>
      <c r="BL12" s="76" t="b">
        <v>0</v>
      </c>
      <c r="BM12" s="76"/>
      <c r="BN12" s="76" t="s">
        <v>66</v>
      </c>
      <c r="BO12" s="76" t="s">
        <v>2094</v>
      </c>
      <c r="BP12" s="82" t="str">
        <f>HYPERLINK("https://twitter.com/pdxblake")</f>
        <v>https://twitter.com/pdxblake</v>
      </c>
      <c r="BQ12" s="76" t="str">
        <f>REPLACE(INDEX(GroupVertices[Group],MATCH("~"&amp;Vertices[[#This Row],[Vertex]],GroupVertices[Vertex],0)),1,1,"")</f>
        <v>2</v>
      </c>
      <c r="BR12" s="45">
        <v>2</v>
      </c>
      <c r="BS12" s="46">
        <v>2.5316455696202533</v>
      </c>
      <c r="BT12" s="45">
        <v>3</v>
      </c>
      <c r="BU12" s="46">
        <v>3.7974683544303796</v>
      </c>
      <c r="BV12" s="45">
        <v>0</v>
      </c>
      <c r="BW12" s="46">
        <v>0</v>
      </c>
      <c r="BX12" s="45">
        <v>43</v>
      </c>
      <c r="BY12" s="46">
        <v>54.43037974683544</v>
      </c>
      <c r="BZ12" s="45">
        <v>79</v>
      </c>
      <c r="CA12" s="45" t="s">
        <v>10993</v>
      </c>
      <c r="CB12" s="45" t="s">
        <v>10993</v>
      </c>
      <c r="CC12" s="45" t="s">
        <v>615</v>
      </c>
      <c r="CD12" s="45" t="s">
        <v>615</v>
      </c>
      <c r="CE12" s="45" t="s">
        <v>416</v>
      </c>
      <c r="CF12" s="45" t="s">
        <v>416</v>
      </c>
      <c r="CG12" s="114" t="s">
        <v>11377</v>
      </c>
      <c r="CH12" s="114" t="s">
        <v>11406</v>
      </c>
      <c r="CI12" s="114" t="s">
        <v>11506</v>
      </c>
      <c r="CJ12" s="114" t="s">
        <v>11506</v>
      </c>
      <c r="CK12" s="2"/>
    </row>
    <row r="13" spans="1:89" ht="41.45" customHeight="1">
      <c r="A13" s="61" t="s">
        <v>225</v>
      </c>
      <c r="C13" s="62"/>
      <c r="D13" s="62" t="s">
        <v>64</v>
      </c>
      <c r="E13" s="63">
        <v>70</v>
      </c>
      <c r="F13" s="65"/>
      <c r="G13" s="101" t="str">
        <f>HYPERLINK("https://pbs.twimg.com/profile_images/1410598537373442062/N1DQR-ZW_normal.jpg")</f>
        <v>https://pbs.twimg.com/profile_images/1410598537373442062/N1DQR-ZW_normal.jpg</v>
      </c>
      <c r="H13" s="62"/>
      <c r="I13" s="66" t="s">
        <v>225</v>
      </c>
      <c r="J13" s="67"/>
      <c r="K13" s="67" t="s">
        <v>75</v>
      </c>
      <c r="L13" s="66" t="s">
        <v>2100</v>
      </c>
      <c r="M13" s="70">
        <v>1</v>
      </c>
      <c r="N13" s="71">
        <v>2878.950927734375</v>
      </c>
      <c r="O13" s="71">
        <v>1231.857177734375</v>
      </c>
      <c r="P13" s="72"/>
      <c r="Q13" s="73"/>
      <c r="R13" s="73"/>
      <c r="S13" s="87"/>
      <c r="T13" s="45">
        <v>0</v>
      </c>
      <c r="U13" s="45">
        <v>5</v>
      </c>
      <c r="V13" s="46">
        <v>20</v>
      </c>
      <c r="W13" s="46">
        <v>0.023474</v>
      </c>
      <c r="X13" s="46">
        <v>0</v>
      </c>
      <c r="Y13" s="46">
        <v>0.007111</v>
      </c>
      <c r="Z13" s="46">
        <v>0</v>
      </c>
      <c r="AA13" s="46">
        <v>0</v>
      </c>
      <c r="AB13" s="68">
        <v>9</v>
      </c>
      <c r="AC13" s="68"/>
      <c r="AD13" s="69"/>
      <c r="AE13" s="76" t="s">
        <v>1333</v>
      </c>
      <c r="AF13" s="80" t="s">
        <v>1236</v>
      </c>
      <c r="AG13" s="76">
        <v>5606</v>
      </c>
      <c r="AH13" s="76">
        <v>244</v>
      </c>
      <c r="AI13" s="76">
        <v>1982</v>
      </c>
      <c r="AJ13" s="76">
        <v>17</v>
      </c>
      <c r="AK13" s="76">
        <v>2008</v>
      </c>
      <c r="AL13" s="76">
        <v>266</v>
      </c>
      <c r="AM13" s="76" t="b">
        <v>0</v>
      </c>
      <c r="AN13" s="78">
        <v>43308.779953703706</v>
      </c>
      <c r="AO13" s="76" t="s">
        <v>852</v>
      </c>
      <c r="AP13" s="76" t="s">
        <v>1754</v>
      </c>
      <c r="AQ13" s="76"/>
      <c r="AR13" s="76"/>
      <c r="AS13" s="76"/>
      <c r="AT13" s="76"/>
      <c r="AU13" s="76"/>
      <c r="AV13" s="76"/>
      <c r="AW13" s="76">
        <v>1.73206776541708E+18</v>
      </c>
      <c r="AX13" s="76"/>
      <c r="AY13" s="76" t="b">
        <v>0</v>
      </c>
      <c r="AZ13" s="76"/>
      <c r="BA13" s="76"/>
      <c r="BB13" s="76" t="b">
        <v>1</v>
      </c>
      <c r="BC13" s="76" t="b">
        <v>0</v>
      </c>
      <c r="BD13" s="76" t="b">
        <v>1</v>
      </c>
      <c r="BE13" s="76" t="b">
        <v>0</v>
      </c>
      <c r="BF13" s="76" t="b">
        <v>1</v>
      </c>
      <c r="BG13" s="76" t="b">
        <v>0</v>
      </c>
      <c r="BH13" s="76" t="b">
        <v>0</v>
      </c>
      <c r="BI13" s="82" t="str">
        <f>HYPERLINK("https://pbs.twimg.com/profile_banners/1022915305834668033/1622955819")</f>
        <v>https://pbs.twimg.com/profile_banners/1022915305834668033/1622955819</v>
      </c>
      <c r="BJ13" s="76"/>
      <c r="BK13" s="76" t="s">
        <v>2092</v>
      </c>
      <c r="BL13" s="76" t="b">
        <v>0</v>
      </c>
      <c r="BM13" s="76"/>
      <c r="BN13" s="76" t="s">
        <v>66</v>
      </c>
      <c r="BO13" s="76" t="s">
        <v>2094</v>
      </c>
      <c r="BP13" s="82" t="str">
        <f>HYPERLINK("https://twitter.com/kibongerawlins")</f>
        <v>https://twitter.com/kibongerawlins</v>
      </c>
      <c r="BQ13" s="76" t="str">
        <f>REPLACE(INDEX(GroupVertices[Group],MATCH("~"&amp;Vertices[[#This Row],[Vertex]],GroupVertices[Vertex],0)),1,1,"")</f>
        <v>6</v>
      </c>
      <c r="BR13" s="45">
        <v>0</v>
      </c>
      <c r="BS13" s="46">
        <v>0</v>
      </c>
      <c r="BT13" s="45">
        <v>4</v>
      </c>
      <c r="BU13" s="46">
        <v>11.764705882352942</v>
      </c>
      <c r="BV13" s="45">
        <v>1</v>
      </c>
      <c r="BW13" s="46">
        <v>2.9411764705882355</v>
      </c>
      <c r="BX13" s="45">
        <v>19</v>
      </c>
      <c r="BY13" s="46">
        <v>55.88235294117647</v>
      </c>
      <c r="BZ13" s="45">
        <v>34</v>
      </c>
      <c r="CA13" s="45"/>
      <c r="CB13" s="45"/>
      <c r="CC13" s="45"/>
      <c r="CD13" s="45"/>
      <c r="CE13" s="45"/>
      <c r="CF13" s="45"/>
      <c r="CG13" s="114" t="s">
        <v>11283</v>
      </c>
      <c r="CH13" s="114" t="s">
        <v>11283</v>
      </c>
      <c r="CI13" s="114" t="s">
        <v>11412</v>
      </c>
      <c r="CJ13" s="114" t="s">
        <v>11412</v>
      </c>
      <c r="CK13" s="2"/>
    </row>
    <row r="14" spans="1:89" ht="41.45" customHeight="1">
      <c r="A14" s="61" t="s">
        <v>291</v>
      </c>
      <c r="C14" s="62"/>
      <c r="D14" s="62" t="s">
        <v>64</v>
      </c>
      <c r="E14" s="63">
        <v>70</v>
      </c>
      <c r="F14" s="65"/>
      <c r="G14" s="101" t="str">
        <f>HYPERLINK("https://pbs.twimg.com/profile_images/1688724927590080512/k9BtWP8O_normal.jpg")</f>
        <v>https://pbs.twimg.com/profile_images/1688724927590080512/k9BtWP8O_normal.jpg</v>
      </c>
      <c r="H14" s="62"/>
      <c r="I14" s="66" t="s">
        <v>291</v>
      </c>
      <c r="J14" s="67"/>
      <c r="K14" s="67" t="s">
        <v>75</v>
      </c>
      <c r="L14" s="66" t="s">
        <v>2227</v>
      </c>
      <c r="M14" s="70">
        <v>1</v>
      </c>
      <c r="N14" s="71">
        <v>3931.4140625</v>
      </c>
      <c r="O14" s="71">
        <v>8791.4970703125</v>
      </c>
      <c r="P14" s="72"/>
      <c r="Q14" s="73"/>
      <c r="R14" s="73"/>
      <c r="S14" s="87"/>
      <c r="T14" s="45">
        <v>0</v>
      </c>
      <c r="U14" s="45">
        <v>5</v>
      </c>
      <c r="V14" s="46">
        <v>20</v>
      </c>
      <c r="W14" s="46">
        <v>0.023474</v>
      </c>
      <c r="X14" s="46">
        <v>0</v>
      </c>
      <c r="Y14" s="46">
        <v>0.007111</v>
      </c>
      <c r="Z14" s="46">
        <v>0</v>
      </c>
      <c r="AA14" s="46">
        <v>0</v>
      </c>
      <c r="AB14" s="68">
        <v>136</v>
      </c>
      <c r="AC14" s="68"/>
      <c r="AD14" s="69"/>
      <c r="AE14" s="76" t="s">
        <v>1460</v>
      </c>
      <c r="AF14" s="80" t="s">
        <v>1268</v>
      </c>
      <c r="AG14" s="76">
        <v>2109</v>
      </c>
      <c r="AH14" s="76">
        <v>1268</v>
      </c>
      <c r="AI14" s="76">
        <v>142610</v>
      </c>
      <c r="AJ14" s="76">
        <v>15</v>
      </c>
      <c r="AK14" s="76">
        <v>135894</v>
      </c>
      <c r="AL14" s="76">
        <v>8523</v>
      </c>
      <c r="AM14" s="76" t="b">
        <v>0</v>
      </c>
      <c r="AN14" s="78">
        <v>42948.59315972222</v>
      </c>
      <c r="AO14" s="76" t="s">
        <v>861</v>
      </c>
      <c r="AP14" s="76" t="s">
        <v>1877</v>
      </c>
      <c r="AQ14" s="82" t="str">
        <f>HYPERLINK("https://t.co/XtTh951b3A")</f>
        <v>https://t.co/XtTh951b3A</v>
      </c>
      <c r="AR14" s="82" t="str">
        <f>HYPERLINK("https://www.youtube.com/channel/UC4GhL_Tge2BKX8ff5S0tAXQ")</f>
        <v>https://www.youtube.com/channel/UC4GhL_Tge2BKX8ff5S0tAXQ</v>
      </c>
      <c r="AS14" s="76" t="s">
        <v>2017</v>
      </c>
      <c r="AT14" s="76"/>
      <c r="AU14" s="76"/>
      <c r="AV14" s="76"/>
      <c r="AW14" s="76"/>
      <c r="AX14" s="82" t="str">
        <f>HYPERLINK("https://t.co/XtTh951b3A")</f>
        <v>https://t.co/XtTh951b3A</v>
      </c>
      <c r="AY14" s="76" t="b">
        <v>0</v>
      </c>
      <c r="AZ14" s="76"/>
      <c r="BA14" s="76"/>
      <c r="BB14" s="76" t="b">
        <v>0</v>
      </c>
      <c r="BC14" s="76" t="b">
        <v>1</v>
      </c>
      <c r="BD14" s="76" t="b">
        <v>1</v>
      </c>
      <c r="BE14" s="76" t="b">
        <v>0</v>
      </c>
      <c r="BF14" s="76" t="b">
        <v>1</v>
      </c>
      <c r="BG14" s="76" t="b">
        <v>0</v>
      </c>
      <c r="BH14" s="76" t="b">
        <v>0</v>
      </c>
      <c r="BI14" s="82" t="str">
        <f>HYPERLINK("https://pbs.twimg.com/profile_banners/892387980215590913/1687235236")</f>
        <v>https://pbs.twimg.com/profile_banners/892387980215590913/1687235236</v>
      </c>
      <c r="BJ14" s="76"/>
      <c r="BK14" s="76" t="s">
        <v>2092</v>
      </c>
      <c r="BL14" s="76" t="b">
        <v>0</v>
      </c>
      <c r="BM14" s="76"/>
      <c r="BN14" s="76" t="s">
        <v>66</v>
      </c>
      <c r="BO14" s="76" t="s">
        <v>2094</v>
      </c>
      <c r="BP14" s="82" t="str">
        <f>HYPERLINK("https://twitter.com/beautiful_str34")</f>
        <v>https://twitter.com/beautiful_str34</v>
      </c>
      <c r="BQ14" s="76" t="str">
        <f>REPLACE(INDEX(GroupVertices[Group],MATCH("~"&amp;Vertices[[#This Row],[Vertex]],GroupVertices[Vertex],0)),1,1,"")</f>
        <v>5</v>
      </c>
      <c r="BR14" s="45">
        <v>0</v>
      </c>
      <c r="BS14" s="46">
        <v>0</v>
      </c>
      <c r="BT14" s="45">
        <v>3</v>
      </c>
      <c r="BU14" s="46">
        <v>5</v>
      </c>
      <c r="BV14" s="45">
        <v>0</v>
      </c>
      <c r="BW14" s="46">
        <v>0</v>
      </c>
      <c r="BX14" s="45">
        <v>31</v>
      </c>
      <c r="BY14" s="46">
        <v>51.666666666666664</v>
      </c>
      <c r="BZ14" s="45">
        <v>60</v>
      </c>
      <c r="CA14" s="45"/>
      <c r="CB14" s="45"/>
      <c r="CC14" s="45"/>
      <c r="CD14" s="45"/>
      <c r="CE14" s="45"/>
      <c r="CF14" s="45"/>
      <c r="CG14" s="114" t="s">
        <v>11354</v>
      </c>
      <c r="CH14" s="114" t="s">
        <v>11354</v>
      </c>
      <c r="CI14" s="114" t="s">
        <v>11483</v>
      </c>
      <c r="CJ14" s="114" t="s">
        <v>11483</v>
      </c>
      <c r="CK14" s="2"/>
    </row>
    <row r="15" spans="1:89" ht="41.45" customHeight="1">
      <c r="A15" s="61" t="s">
        <v>244</v>
      </c>
      <c r="C15" s="62"/>
      <c r="D15" s="62" t="s">
        <v>64</v>
      </c>
      <c r="E15" s="63">
        <v>70</v>
      </c>
      <c r="F15" s="65"/>
      <c r="G15" s="101" t="str">
        <f>HYPERLINK("https://pbs.twimg.com/profile_images/2717311346/936f3d589111deee707b8c55aad2bc56_normal.jpeg")</f>
        <v>https://pbs.twimg.com/profile_images/2717311346/936f3d589111deee707b8c55aad2bc56_normal.jpeg</v>
      </c>
      <c r="H15" s="62"/>
      <c r="I15" s="66" t="s">
        <v>244</v>
      </c>
      <c r="J15" s="67"/>
      <c r="K15" s="67" t="s">
        <v>75</v>
      </c>
      <c r="L15" s="66" t="s">
        <v>2139</v>
      </c>
      <c r="M15" s="70">
        <v>1</v>
      </c>
      <c r="N15" s="71">
        <v>3922.333984375</v>
      </c>
      <c r="O15" s="71">
        <v>6296.8642578125</v>
      </c>
      <c r="P15" s="72"/>
      <c r="Q15" s="73"/>
      <c r="R15" s="73"/>
      <c r="S15" s="87"/>
      <c r="T15" s="45">
        <v>0</v>
      </c>
      <c r="U15" s="45">
        <v>4</v>
      </c>
      <c r="V15" s="46">
        <v>12</v>
      </c>
      <c r="W15" s="46">
        <v>0.018779</v>
      </c>
      <c r="X15" s="46">
        <v>0</v>
      </c>
      <c r="Y15" s="46">
        <v>0.006502</v>
      </c>
      <c r="Z15" s="46">
        <v>0</v>
      </c>
      <c r="AA15" s="46">
        <v>0</v>
      </c>
      <c r="AB15" s="68">
        <v>48</v>
      </c>
      <c r="AC15" s="68"/>
      <c r="AD15" s="69"/>
      <c r="AE15" s="76" t="s">
        <v>1372</v>
      </c>
      <c r="AF15" s="80" t="s">
        <v>1562</v>
      </c>
      <c r="AG15" s="76">
        <v>189</v>
      </c>
      <c r="AH15" s="76">
        <v>280</v>
      </c>
      <c r="AI15" s="76">
        <v>4559</v>
      </c>
      <c r="AJ15" s="76">
        <v>4</v>
      </c>
      <c r="AK15" s="76">
        <v>3078</v>
      </c>
      <c r="AL15" s="76">
        <v>40</v>
      </c>
      <c r="AM15" s="76" t="b">
        <v>0</v>
      </c>
      <c r="AN15" s="78">
        <v>39980.20167824074</v>
      </c>
      <c r="AO15" s="76" t="s">
        <v>1668</v>
      </c>
      <c r="AP15" s="76"/>
      <c r="AQ15" s="76"/>
      <c r="AR15" s="76"/>
      <c r="AS15" s="76"/>
      <c r="AT15" s="76"/>
      <c r="AU15" s="76"/>
      <c r="AV15" s="76"/>
      <c r="AW15" s="76"/>
      <c r="AX15" s="76"/>
      <c r="AY15" s="76" t="b">
        <v>1</v>
      </c>
      <c r="AZ15" s="76"/>
      <c r="BA15" s="76"/>
      <c r="BB15" s="76" t="b">
        <v>1</v>
      </c>
      <c r="BC15" s="76" t="b">
        <v>1</v>
      </c>
      <c r="BD15" s="76" t="b">
        <v>1</v>
      </c>
      <c r="BE15" s="76" t="b">
        <v>0</v>
      </c>
      <c r="BF15" s="76" t="b">
        <v>1</v>
      </c>
      <c r="BG15" s="76" t="b">
        <v>0</v>
      </c>
      <c r="BH15" s="76" t="b">
        <v>0</v>
      </c>
      <c r="BI15" s="76"/>
      <c r="BJ15" s="76"/>
      <c r="BK15" s="76" t="s">
        <v>2092</v>
      </c>
      <c r="BL15" s="76" t="b">
        <v>0</v>
      </c>
      <c r="BM15" s="76"/>
      <c r="BN15" s="76" t="s">
        <v>66</v>
      </c>
      <c r="BO15" s="76" t="s">
        <v>2094</v>
      </c>
      <c r="BP15" s="82" t="str">
        <f>HYPERLINK("https://twitter.com/khazeni")</f>
        <v>https://twitter.com/khazeni</v>
      </c>
      <c r="BQ15" s="76" t="str">
        <f>REPLACE(INDEX(GroupVertices[Group],MATCH("~"&amp;Vertices[[#This Row],[Vertex]],GroupVertices[Vertex],0)),1,1,"")</f>
        <v>7</v>
      </c>
      <c r="BR15" s="45">
        <v>2</v>
      </c>
      <c r="BS15" s="46">
        <v>4.166666666666667</v>
      </c>
      <c r="BT15" s="45">
        <v>1</v>
      </c>
      <c r="BU15" s="46">
        <v>2.0833333333333335</v>
      </c>
      <c r="BV15" s="45">
        <v>0</v>
      </c>
      <c r="BW15" s="46">
        <v>0</v>
      </c>
      <c r="BX15" s="45">
        <v>26</v>
      </c>
      <c r="BY15" s="46">
        <v>54.166666666666664</v>
      </c>
      <c r="BZ15" s="45">
        <v>48</v>
      </c>
      <c r="CA15" s="45"/>
      <c r="CB15" s="45"/>
      <c r="CC15" s="45"/>
      <c r="CD15" s="45"/>
      <c r="CE15" s="45"/>
      <c r="CF15" s="45"/>
      <c r="CG15" s="114" t="s">
        <v>11305</v>
      </c>
      <c r="CH15" s="114" t="s">
        <v>11305</v>
      </c>
      <c r="CI15" s="114" t="s">
        <v>11434</v>
      </c>
      <c r="CJ15" s="114" t="s">
        <v>11434</v>
      </c>
      <c r="CK15" s="2"/>
    </row>
    <row r="16" spans="1:89" ht="41.45" customHeight="1">
      <c r="A16" s="61" t="s">
        <v>233</v>
      </c>
      <c r="C16" s="62"/>
      <c r="D16" s="62" t="s">
        <v>64</v>
      </c>
      <c r="E16" s="63">
        <v>70</v>
      </c>
      <c r="F16" s="65"/>
      <c r="G16" s="101" t="str">
        <f>HYPERLINK("https://pbs.twimg.com/profile_images/1655048336481878017/aQM2raQ8_normal.jpg")</f>
        <v>https://pbs.twimg.com/profile_images/1655048336481878017/aQM2raQ8_normal.jpg</v>
      </c>
      <c r="H16" s="62"/>
      <c r="I16" s="66" t="s">
        <v>233</v>
      </c>
      <c r="J16" s="67"/>
      <c r="K16" s="67" t="s">
        <v>75</v>
      </c>
      <c r="L16" s="66" t="s">
        <v>2119</v>
      </c>
      <c r="M16" s="70">
        <v>1</v>
      </c>
      <c r="N16" s="71">
        <v>3667.781982421875</v>
      </c>
      <c r="O16" s="71">
        <v>4771.4482421875</v>
      </c>
      <c r="P16" s="72"/>
      <c r="Q16" s="73"/>
      <c r="R16" s="73"/>
      <c r="S16" s="87"/>
      <c r="T16" s="45">
        <v>0</v>
      </c>
      <c r="U16" s="45">
        <v>3</v>
      </c>
      <c r="V16" s="46">
        <v>6</v>
      </c>
      <c r="W16" s="46">
        <v>0.014085</v>
      </c>
      <c r="X16" s="46">
        <v>0</v>
      </c>
      <c r="Y16" s="46">
        <v>0.005892</v>
      </c>
      <c r="Z16" s="46">
        <v>0</v>
      </c>
      <c r="AA16" s="46">
        <v>0</v>
      </c>
      <c r="AB16" s="68">
        <v>28</v>
      </c>
      <c r="AC16" s="68"/>
      <c r="AD16" s="69"/>
      <c r="AE16" s="76" t="s">
        <v>1352</v>
      </c>
      <c r="AF16" s="80" t="s">
        <v>1241</v>
      </c>
      <c r="AG16" s="76">
        <v>27778</v>
      </c>
      <c r="AH16" s="76">
        <v>15573</v>
      </c>
      <c r="AI16" s="76">
        <v>530984</v>
      </c>
      <c r="AJ16" s="76">
        <v>154</v>
      </c>
      <c r="AK16" s="76">
        <v>919057</v>
      </c>
      <c r="AL16" s="76">
        <v>29496</v>
      </c>
      <c r="AM16" s="76" t="b">
        <v>0</v>
      </c>
      <c r="AN16" s="78">
        <v>43464.539293981485</v>
      </c>
      <c r="AO16" s="76" t="s">
        <v>869</v>
      </c>
      <c r="AP16" s="76" t="s">
        <v>1773</v>
      </c>
      <c r="AQ16" s="82" t="str">
        <f>HYPERLINK("https://t.co/WsdjBjgLFq")</f>
        <v>https://t.co/WsdjBjgLFq</v>
      </c>
      <c r="AR16" s="82" t="str">
        <f>HYPERLINK("https://www.patreon.com/eclecticradical")</f>
        <v>https://www.patreon.com/eclecticradical</v>
      </c>
      <c r="AS16" s="76" t="s">
        <v>1966</v>
      </c>
      <c r="AT16" s="82" t="str">
        <f>HYPERLINK("https://t.co/Z3dR4he18P")</f>
        <v>https://t.co/Z3dR4he18P</v>
      </c>
      <c r="AU16" s="82" t="str">
        <f>HYPERLINK("https://www.youtube.com/@eclecticradical")</f>
        <v>https://www.youtube.com/@eclecticradical</v>
      </c>
      <c r="AV16" s="76" t="s">
        <v>2070</v>
      </c>
      <c r="AW16" s="76">
        <v>1.57416431634942E+18</v>
      </c>
      <c r="AX16" s="82" t="str">
        <f>HYPERLINK("https://t.co/WsdjBjgLFq")</f>
        <v>https://t.co/WsdjBjgLFq</v>
      </c>
      <c r="AY16" s="76" t="b">
        <v>0</v>
      </c>
      <c r="AZ16" s="76"/>
      <c r="BA16" s="76"/>
      <c r="BB16" s="76" t="b">
        <v>1</v>
      </c>
      <c r="BC16" s="76" t="b">
        <v>0</v>
      </c>
      <c r="BD16" s="76" t="b">
        <v>1</v>
      </c>
      <c r="BE16" s="76" t="b">
        <v>0</v>
      </c>
      <c r="BF16" s="76" t="b">
        <v>1</v>
      </c>
      <c r="BG16" s="76" t="b">
        <v>0</v>
      </c>
      <c r="BH16" s="76" t="b">
        <v>0</v>
      </c>
      <c r="BI16" s="82" t="str">
        <f>HYPERLINK("https://pbs.twimg.com/profile_banners/1079360602454163456/1663155954")</f>
        <v>https://pbs.twimg.com/profile_banners/1079360602454163456/1663155954</v>
      </c>
      <c r="BJ16" s="76"/>
      <c r="BK16" s="76" t="s">
        <v>2092</v>
      </c>
      <c r="BL16" s="76" t="b">
        <v>0</v>
      </c>
      <c r="BM16" s="76"/>
      <c r="BN16" s="76" t="s">
        <v>66</v>
      </c>
      <c r="BO16" s="76" t="s">
        <v>2094</v>
      </c>
      <c r="BP16" s="82" t="str">
        <f>HYPERLINK("https://twitter.com/eclecticradical")</f>
        <v>https://twitter.com/eclecticradical</v>
      </c>
      <c r="BQ16" s="76" t="str">
        <f>REPLACE(INDEX(GroupVertices[Group],MATCH("~"&amp;Vertices[[#This Row],[Vertex]],GroupVertices[Vertex],0)),1,1,"")</f>
        <v>10</v>
      </c>
      <c r="BR16" s="45">
        <v>0</v>
      </c>
      <c r="BS16" s="46">
        <v>0</v>
      </c>
      <c r="BT16" s="45">
        <v>2</v>
      </c>
      <c r="BU16" s="46">
        <v>9.523809523809524</v>
      </c>
      <c r="BV16" s="45">
        <v>0</v>
      </c>
      <c r="BW16" s="46">
        <v>0</v>
      </c>
      <c r="BX16" s="45">
        <v>10</v>
      </c>
      <c r="BY16" s="46">
        <v>47.61904761904762</v>
      </c>
      <c r="BZ16" s="45">
        <v>21</v>
      </c>
      <c r="CA16" s="45"/>
      <c r="CB16" s="45"/>
      <c r="CC16" s="45"/>
      <c r="CD16" s="45"/>
      <c r="CE16" s="45"/>
      <c r="CF16" s="45"/>
      <c r="CG16" s="114" t="s">
        <v>11293</v>
      </c>
      <c r="CH16" s="114" t="s">
        <v>11293</v>
      </c>
      <c r="CI16" s="114" t="s">
        <v>11422</v>
      </c>
      <c r="CJ16" s="114" t="s">
        <v>11422</v>
      </c>
      <c r="CK16" s="2"/>
    </row>
    <row r="17" spans="1:89" ht="41.45" customHeight="1">
      <c r="A17" s="61" t="s">
        <v>257</v>
      </c>
      <c r="C17" s="62"/>
      <c r="D17" s="62" t="s">
        <v>64</v>
      </c>
      <c r="E17" s="63">
        <v>70</v>
      </c>
      <c r="F17" s="65"/>
      <c r="G17" s="101" t="str">
        <f>HYPERLINK("https://pbs.twimg.com/profile_images/1234302995874992129/BEsGJNSf_normal.jpg")</f>
        <v>https://pbs.twimg.com/profile_images/1234302995874992129/BEsGJNSf_normal.jpg</v>
      </c>
      <c r="H17" s="62"/>
      <c r="I17" s="66" t="s">
        <v>257</v>
      </c>
      <c r="J17" s="67"/>
      <c r="K17" s="67" t="s">
        <v>75</v>
      </c>
      <c r="L17" s="66" t="s">
        <v>2167</v>
      </c>
      <c r="M17" s="70">
        <v>1</v>
      </c>
      <c r="N17" s="71">
        <v>3667.781982421875</v>
      </c>
      <c r="O17" s="71">
        <v>3041.530517578125</v>
      </c>
      <c r="P17" s="72"/>
      <c r="Q17" s="73"/>
      <c r="R17" s="73"/>
      <c r="S17" s="87"/>
      <c r="T17" s="45">
        <v>0</v>
      </c>
      <c r="U17" s="45">
        <v>3</v>
      </c>
      <c r="V17" s="46">
        <v>6</v>
      </c>
      <c r="W17" s="46">
        <v>0.014085</v>
      </c>
      <c r="X17" s="46">
        <v>0</v>
      </c>
      <c r="Y17" s="46">
        <v>0.005892</v>
      </c>
      <c r="Z17" s="46">
        <v>0</v>
      </c>
      <c r="AA17" s="46">
        <v>0</v>
      </c>
      <c r="AB17" s="68">
        <v>76</v>
      </c>
      <c r="AC17" s="68"/>
      <c r="AD17" s="69"/>
      <c r="AE17" s="76" t="s">
        <v>1400</v>
      </c>
      <c r="AF17" s="80" t="s">
        <v>1252</v>
      </c>
      <c r="AG17" s="76">
        <v>1911</v>
      </c>
      <c r="AH17" s="76">
        <v>1026</v>
      </c>
      <c r="AI17" s="76">
        <v>10991</v>
      </c>
      <c r="AJ17" s="76">
        <v>22</v>
      </c>
      <c r="AK17" s="76">
        <v>25314</v>
      </c>
      <c r="AL17" s="76">
        <v>501</v>
      </c>
      <c r="AM17" s="76" t="b">
        <v>0</v>
      </c>
      <c r="AN17" s="78">
        <v>43892.098032407404</v>
      </c>
      <c r="AO17" s="76" t="s">
        <v>852</v>
      </c>
      <c r="AP17" s="76" t="s">
        <v>1818</v>
      </c>
      <c r="AQ17" s="82" t="str">
        <f>HYPERLINK("https://t.co/5n6WYd5KRb")</f>
        <v>https://t.co/5n6WYd5KRb</v>
      </c>
      <c r="AR17" s="82" t="str">
        <f>HYPERLINK("https://linktr.ee/chrisfairley")</f>
        <v>https://linktr.ee/chrisfairley</v>
      </c>
      <c r="AS17" s="76" t="s">
        <v>1986</v>
      </c>
      <c r="AT17" s="76"/>
      <c r="AU17" s="76"/>
      <c r="AV17" s="76"/>
      <c r="AW17" s="76">
        <v>1.74223662169159E+18</v>
      </c>
      <c r="AX17" s="82" t="str">
        <f>HYPERLINK("https://t.co/5n6WYd5KRb")</f>
        <v>https://t.co/5n6WYd5KRb</v>
      </c>
      <c r="AY17" s="76" t="b">
        <v>0</v>
      </c>
      <c r="AZ17" s="76"/>
      <c r="BA17" s="76"/>
      <c r="BB17" s="76" t="b">
        <v>0</v>
      </c>
      <c r="BC17" s="76" t="b">
        <v>1</v>
      </c>
      <c r="BD17" s="76" t="b">
        <v>1</v>
      </c>
      <c r="BE17" s="76" t="b">
        <v>0</v>
      </c>
      <c r="BF17" s="76" t="b">
        <v>1</v>
      </c>
      <c r="BG17" s="76" t="b">
        <v>0</v>
      </c>
      <c r="BH17" s="76" t="b">
        <v>0</v>
      </c>
      <c r="BI17" s="82" t="str">
        <f>HYPERLINK("https://pbs.twimg.com/profile_banners/1234302648859316224/1704391915")</f>
        <v>https://pbs.twimg.com/profile_banners/1234302648859316224/1704391915</v>
      </c>
      <c r="BJ17" s="76"/>
      <c r="BK17" s="76" t="s">
        <v>2092</v>
      </c>
      <c r="BL17" s="76" t="b">
        <v>0</v>
      </c>
      <c r="BM17" s="76"/>
      <c r="BN17" s="76" t="s">
        <v>66</v>
      </c>
      <c r="BO17" s="76" t="s">
        <v>2094</v>
      </c>
      <c r="BP17" s="82" t="str">
        <f>HYPERLINK("https://twitter.com/fairleyphoto")</f>
        <v>https://twitter.com/fairleyphoto</v>
      </c>
      <c r="BQ17" s="76" t="str">
        <f>REPLACE(INDEX(GroupVertices[Group],MATCH("~"&amp;Vertices[[#This Row],[Vertex]],GroupVertices[Vertex],0)),1,1,"")</f>
        <v>9</v>
      </c>
      <c r="BR17" s="45">
        <v>0</v>
      </c>
      <c r="BS17" s="46">
        <v>0</v>
      </c>
      <c r="BT17" s="45">
        <v>0</v>
      </c>
      <c r="BU17" s="46">
        <v>0</v>
      </c>
      <c r="BV17" s="45">
        <v>0</v>
      </c>
      <c r="BW17" s="46">
        <v>0</v>
      </c>
      <c r="BX17" s="45">
        <v>8</v>
      </c>
      <c r="BY17" s="46">
        <v>61.53846153846154</v>
      </c>
      <c r="BZ17" s="45">
        <v>13</v>
      </c>
      <c r="CA17" s="45"/>
      <c r="CB17" s="45"/>
      <c r="CC17" s="45"/>
      <c r="CD17" s="45"/>
      <c r="CE17" s="45"/>
      <c r="CF17" s="45"/>
      <c r="CG17" s="114" t="s">
        <v>11320</v>
      </c>
      <c r="CH17" s="114" t="s">
        <v>11320</v>
      </c>
      <c r="CI17" s="114" t="s">
        <v>11449</v>
      </c>
      <c r="CJ17" s="114" t="s">
        <v>11449</v>
      </c>
      <c r="CK17" s="2"/>
    </row>
    <row r="18" spans="1:89" ht="41.45" customHeight="1">
      <c r="A18" s="61" t="s">
        <v>338</v>
      </c>
      <c r="C18" s="62"/>
      <c r="D18" s="62" t="s">
        <v>64</v>
      </c>
      <c r="E18" s="63">
        <v>70</v>
      </c>
      <c r="F18" s="65"/>
      <c r="G18" s="101" t="str">
        <f>HYPERLINK("https://pbs.twimg.com/profile_images/1681786098190815232/zk_d_1f6_normal.jpg")</f>
        <v>https://pbs.twimg.com/profile_images/1681786098190815232/zk_d_1f6_normal.jpg</v>
      </c>
      <c r="H18" s="62"/>
      <c r="I18" s="66" t="s">
        <v>338</v>
      </c>
      <c r="J18" s="67"/>
      <c r="K18" s="67" t="s">
        <v>75</v>
      </c>
      <c r="L18" s="66" t="s">
        <v>2304</v>
      </c>
      <c r="M18" s="70">
        <v>1</v>
      </c>
      <c r="N18" s="71">
        <v>3953.938232421875</v>
      </c>
      <c r="O18" s="71">
        <v>670.6502075195312</v>
      </c>
      <c r="P18" s="72"/>
      <c r="Q18" s="73"/>
      <c r="R18" s="73"/>
      <c r="S18" s="87"/>
      <c r="T18" s="45">
        <v>0</v>
      </c>
      <c r="U18" s="45">
        <v>3</v>
      </c>
      <c r="V18" s="46">
        <v>6</v>
      </c>
      <c r="W18" s="46">
        <v>0.014085</v>
      </c>
      <c r="X18" s="46">
        <v>0</v>
      </c>
      <c r="Y18" s="46">
        <v>0.005892</v>
      </c>
      <c r="Z18" s="46">
        <v>0</v>
      </c>
      <c r="AA18" s="46">
        <v>0</v>
      </c>
      <c r="AB18" s="68">
        <v>213</v>
      </c>
      <c r="AC18" s="68"/>
      <c r="AD18" s="69"/>
      <c r="AE18" s="76" t="s">
        <v>338</v>
      </c>
      <c r="AF18" s="80" t="s">
        <v>1641</v>
      </c>
      <c r="AG18" s="76">
        <v>59</v>
      </c>
      <c r="AH18" s="76">
        <v>66</v>
      </c>
      <c r="AI18" s="76">
        <v>3162</v>
      </c>
      <c r="AJ18" s="76">
        <v>1</v>
      </c>
      <c r="AK18" s="76">
        <v>293</v>
      </c>
      <c r="AL18" s="76">
        <v>147</v>
      </c>
      <c r="AM18" s="76" t="b">
        <v>0</v>
      </c>
      <c r="AN18" s="78">
        <v>40299.896527777775</v>
      </c>
      <c r="AO18" s="76" t="s">
        <v>849</v>
      </c>
      <c r="AP18" s="76" t="s">
        <v>1948</v>
      </c>
      <c r="AQ18" s="76"/>
      <c r="AR18" s="76"/>
      <c r="AS18" s="76"/>
      <c r="AT18" s="76"/>
      <c r="AU18" s="76"/>
      <c r="AV18" s="76"/>
      <c r="AW18" s="76"/>
      <c r="AX18" s="76"/>
      <c r="AY18" s="76" t="b">
        <v>0</v>
      </c>
      <c r="AZ18" s="76"/>
      <c r="BA18" s="76"/>
      <c r="BB18" s="76" t="b">
        <v>0</v>
      </c>
      <c r="BC18" s="76" t="b">
        <v>1</v>
      </c>
      <c r="BD18" s="76" t="b">
        <v>1</v>
      </c>
      <c r="BE18" s="76" t="b">
        <v>0</v>
      </c>
      <c r="BF18" s="76" t="b">
        <v>1</v>
      </c>
      <c r="BG18" s="76" t="b">
        <v>0</v>
      </c>
      <c r="BH18" s="76" t="b">
        <v>0</v>
      </c>
      <c r="BI18" s="76"/>
      <c r="BJ18" s="76"/>
      <c r="BK18" s="76" t="s">
        <v>2092</v>
      </c>
      <c r="BL18" s="76" t="b">
        <v>0</v>
      </c>
      <c r="BM18" s="76"/>
      <c r="BN18" s="76" t="s">
        <v>66</v>
      </c>
      <c r="BO18" s="76" t="s">
        <v>2094</v>
      </c>
      <c r="BP18" s="82" t="str">
        <f>HYPERLINK("https://twitter.com/zciwogor")</f>
        <v>https://twitter.com/zciwogor</v>
      </c>
      <c r="BQ18" s="76" t="str">
        <f>REPLACE(INDEX(GroupVertices[Group],MATCH("~"&amp;Vertices[[#This Row],[Vertex]],GroupVertices[Vertex],0)),1,1,"")</f>
        <v>8</v>
      </c>
      <c r="BR18" s="45">
        <v>1</v>
      </c>
      <c r="BS18" s="46">
        <v>4</v>
      </c>
      <c r="BT18" s="45">
        <v>1</v>
      </c>
      <c r="BU18" s="46">
        <v>4</v>
      </c>
      <c r="BV18" s="45">
        <v>0</v>
      </c>
      <c r="BW18" s="46">
        <v>0</v>
      </c>
      <c r="BX18" s="45">
        <v>14</v>
      </c>
      <c r="BY18" s="46">
        <v>56</v>
      </c>
      <c r="BZ18" s="45">
        <v>25</v>
      </c>
      <c r="CA18" s="45"/>
      <c r="CB18" s="45"/>
      <c r="CC18" s="45"/>
      <c r="CD18" s="45"/>
      <c r="CE18" s="45"/>
      <c r="CF18" s="45"/>
      <c r="CG18" s="114" t="s">
        <v>11396</v>
      </c>
      <c r="CH18" s="114" t="s">
        <v>11396</v>
      </c>
      <c r="CI18" s="114" t="s">
        <v>11525</v>
      </c>
      <c r="CJ18" s="114" t="s">
        <v>11525</v>
      </c>
      <c r="CK18" s="2"/>
    </row>
    <row r="19" spans="1:89" ht="41.45" customHeight="1">
      <c r="A19" s="61" t="s">
        <v>223</v>
      </c>
      <c r="C19" s="62"/>
      <c r="D19" s="62" t="s">
        <v>64</v>
      </c>
      <c r="E19" s="63">
        <v>70</v>
      </c>
      <c r="F19" s="65"/>
      <c r="G19" s="101" t="str">
        <f>HYPERLINK("https://pbs.twimg.com/profile_images/1388584894507274242/XT5XN_EK_normal.jpg")</f>
        <v>https://pbs.twimg.com/profile_images/1388584894507274242/XT5XN_EK_normal.jpg</v>
      </c>
      <c r="H19" s="62"/>
      <c r="I19" s="66" t="s">
        <v>223</v>
      </c>
      <c r="J19" s="67"/>
      <c r="K19" s="67" t="s">
        <v>75</v>
      </c>
      <c r="L19" s="66" t="s">
        <v>2096</v>
      </c>
      <c r="M19" s="70">
        <v>1</v>
      </c>
      <c r="N19" s="71">
        <v>4663.37109375</v>
      </c>
      <c r="O19" s="71">
        <v>4572.37548828125</v>
      </c>
      <c r="P19" s="72"/>
      <c r="Q19" s="73"/>
      <c r="R19" s="73"/>
      <c r="S19" s="87"/>
      <c r="T19" s="45">
        <v>0</v>
      </c>
      <c r="U19" s="45">
        <v>2</v>
      </c>
      <c r="V19" s="46">
        <v>2</v>
      </c>
      <c r="W19" s="46">
        <v>0.00939</v>
      </c>
      <c r="X19" s="46">
        <v>0</v>
      </c>
      <c r="Y19" s="46">
        <v>0.005282</v>
      </c>
      <c r="Z19" s="46">
        <v>0</v>
      </c>
      <c r="AA19" s="46">
        <v>0</v>
      </c>
      <c r="AB19" s="68">
        <v>5</v>
      </c>
      <c r="AC19" s="68"/>
      <c r="AD19" s="69"/>
      <c r="AE19" s="76" t="s">
        <v>1329</v>
      </c>
      <c r="AF19" s="80" t="s">
        <v>1545</v>
      </c>
      <c r="AG19" s="76">
        <v>889</v>
      </c>
      <c r="AH19" s="76">
        <v>4197</v>
      </c>
      <c r="AI19" s="76">
        <v>1939</v>
      </c>
      <c r="AJ19" s="76">
        <v>13</v>
      </c>
      <c r="AK19" s="76">
        <v>7345</v>
      </c>
      <c r="AL19" s="76">
        <v>520</v>
      </c>
      <c r="AM19" s="76" t="b">
        <v>0</v>
      </c>
      <c r="AN19" s="78">
        <v>41660.853414351855</v>
      </c>
      <c r="AO19" s="76" t="s">
        <v>1650</v>
      </c>
      <c r="AP19" s="76" t="s">
        <v>1750</v>
      </c>
      <c r="AQ19" s="76"/>
      <c r="AR19" s="76"/>
      <c r="AS19" s="76"/>
      <c r="AT19" s="76"/>
      <c r="AU19" s="76"/>
      <c r="AV19" s="76"/>
      <c r="AW19" s="76"/>
      <c r="AX19" s="76"/>
      <c r="AY19" s="76" t="b">
        <v>0</v>
      </c>
      <c r="AZ19" s="76"/>
      <c r="BA19" s="76"/>
      <c r="BB19" s="76" t="b">
        <v>0</v>
      </c>
      <c r="BC19" s="76" t="b">
        <v>1</v>
      </c>
      <c r="BD19" s="76" t="b">
        <v>1</v>
      </c>
      <c r="BE19" s="76" t="b">
        <v>0</v>
      </c>
      <c r="BF19" s="76" t="b">
        <v>0</v>
      </c>
      <c r="BG19" s="76" t="b">
        <v>0</v>
      </c>
      <c r="BH19" s="76" t="b">
        <v>0</v>
      </c>
      <c r="BI19" s="82" t="str">
        <f>HYPERLINK("https://pbs.twimg.com/profile_banners/2303676979/1595134494")</f>
        <v>https://pbs.twimg.com/profile_banners/2303676979/1595134494</v>
      </c>
      <c r="BJ19" s="76"/>
      <c r="BK19" s="76" t="s">
        <v>2092</v>
      </c>
      <c r="BL19" s="76" t="b">
        <v>0</v>
      </c>
      <c r="BM19" s="76"/>
      <c r="BN19" s="76" t="s">
        <v>66</v>
      </c>
      <c r="BO19" s="76" t="s">
        <v>2094</v>
      </c>
      <c r="BP19" s="82" t="str">
        <f>HYPERLINK("https://twitter.com/2020insofewways")</f>
        <v>https://twitter.com/2020insofewways</v>
      </c>
      <c r="BQ19" s="76" t="str">
        <f>REPLACE(INDEX(GroupVertices[Group],MATCH("~"&amp;Vertices[[#This Row],[Vertex]],GroupVertices[Vertex],0)),1,1,"")</f>
        <v>23</v>
      </c>
      <c r="BR19" s="45">
        <v>0</v>
      </c>
      <c r="BS19" s="46">
        <v>0</v>
      </c>
      <c r="BT19" s="45">
        <v>2</v>
      </c>
      <c r="BU19" s="46">
        <v>10</v>
      </c>
      <c r="BV19" s="45">
        <v>0</v>
      </c>
      <c r="BW19" s="46">
        <v>0</v>
      </c>
      <c r="BX19" s="45">
        <v>12</v>
      </c>
      <c r="BY19" s="46">
        <v>60</v>
      </c>
      <c r="BZ19" s="45">
        <v>20</v>
      </c>
      <c r="CA19" s="45"/>
      <c r="CB19" s="45"/>
      <c r="CC19" s="45"/>
      <c r="CD19" s="45"/>
      <c r="CE19" s="45"/>
      <c r="CF19" s="45"/>
      <c r="CG19" s="114" t="s">
        <v>11281</v>
      </c>
      <c r="CH19" s="114" t="s">
        <v>11281</v>
      </c>
      <c r="CI19" s="114" t="s">
        <v>11410</v>
      </c>
      <c r="CJ19" s="114" t="s">
        <v>11410</v>
      </c>
      <c r="CK19" s="2"/>
    </row>
    <row r="20" spans="1:89" ht="41.45" customHeight="1">
      <c r="A20" s="61" t="s">
        <v>227</v>
      </c>
      <c r="C20" s="62"/>
      <c r="D20" s="62" t="s">
        <v>64</v>
      </c>
      <c r="E20" s="63">
        <v>70</v>
      </c>
      <c r="F20" s="65"/>
      <c r="G20" s="101" t="str">
        <f>HYPERLINK("https://pbs.twimg.com/profile_images/1451946612788383755/nXpcsSb4_normal.png")</f>
        <v>https://pbs.twimg.com/profile_images/1451946612788383755/nXpcsSb4_normal.png</v>
      </c>
      <c r="H20" s="62"/>
      <c r="I20" s="66" t="s">
        <v>227</v>
      </c>
      <c r="J20" s="67"/>
      <c r="K20" s="67" t="s">
        <v>75</v>
      </c>
      <c r="L20" s="66" t="s">
        <v>2108</v>
      </c>
      <c r="M20" s="70">
        <v>1</v>
      </c>
      <c r="N20" s="71">
        <v>4663.37109375</v>
      </c>
      <c r="O20" s="71">
        <v>2914.275146484375</v>
      </c>
      <c r="P20" s="72"/>
      <c r="Q20" s="73"/>
      <c r="R20" s="73"/>
      <c r="S20" s="87"/>
      <c r="T20" s="45">
        <v>0</v>
      </c>
      <c r="U20" s="45">
        <v>2</v>
      </c>
      <c r="V20" s="46">
        <v>2</v>
      </c>
      <c r="W20" s="46">
        <v>0.00939</v>
      </c>
      <c r="X20" s="46">
        <v>0</v>
      </c>
      <c r="Y20" s="46">
        <v>0.005282</v>
      </c>
      <c r="Z20" s="46">
        <v>0</v>
      </c>
      <c r="AA20" s="46">
        <v>0</v>
      </c>
      <c r="AB20" s="68">
        <v>17</v>
      </c>
      <c r="AC20" s="68"/>
      <c r="AD20" s="69"/>
      <c r="AE20" s="76" t="s">
        <v>1341</v>
      </c>
      <c r="AF20" s="80" t="s">
        <v>1237</v>
      </c>
      <c r="AG20" s="76">
        <v>145</v>
      </c>
      <c r="AH20" s="76">
        <v>34</v>
      </c>
      <c r="AI20" s="76">
        <v>1602</v>
      </c>
      <c r="AJ20" s="76">
        <v>2</v>
      </c>
      <c r="AK20" s="76">
        <v>2297</v>
      </c>
      <c r="AL20" s="76">
        <v>188</v>
      </c>
      <c r="AM20" s="76" t="b">
        <v>0</v>
      </c>
      <c r="AN20" s="78">
        <v>44492.680810185186</v>
      </c>
      <c r="AO20" s="76" t="s">
        <v>852</v>
      </c>
      <c r="AP20" s="76" t="s">
        <v>1762</v>
      </c>
      <c r="AQ20" s="76"/>
      <c r="AR20" s="76"/>
      <c r="AS20" s="76"/>
      <c r="AT20" s="76"/>
      <c r="AU20" s="76"/>
      <c r="AV20" s="76"/>
      <c r="AW20" s="76"/>
      <c r="AX20" s="76"/>
      <c r="AY20" s="76" t="b">
        <v>0</v>
      </c>
      <c r="AZ20" s="76"/>
      <c r="BA20" s="76"/>
      <c r="BB20" s="76" t="b">
        <v>0</v>
      </c>
      <c r="BC20" s="76" t="b">
        <v>1</v>
      </c>
      <c r="BD20" s="76" t="b">
        <v>1</v>
      </c>
      <c r="BE20" s="76" t="b">
        <v>0</v>
      </c>
      <c r="BF20" s="76" t="b">
        <v>0</v>
      </c>
      <c r="BG20" s="76" t="b">
        <v>0</v>
      </c>
      <c r="BH20" s="76" t="b">
        <v>0</v>
      </c>
      <c r="BI20" s="82" t="str">
        <f>HYPERLINK("https://pbs.twimg.com/profile_banners/1451946534979788802/1644368952")</f>
        <v>https://pbs.twimg.com/profile_banners/1451946534979788802/1644368952</v>
      </c>
      <c r="BJ20" s="76"/>
      <c r="BK20" s="76" t="s">
        <v>2092</v>
      </c>
      <c r="BL20" s="76" t="b">
        <v>0</v>
      </c>
      <c r="BM20" s="76"/>
      <c r="BN20" s="76" t="s">
        <v>66</v>
      </c>
      <c r="BO20" s="76" t="s">
        <v>2094</v>
      </c>
      <c r="BP20" s="82" t="str">
        <f>HYPERLINK("https://twitter.com/byronstine")</f>
        <v>https://twitter.com/byronstine</v>
      </c>
      <c r="BQ20" s="76" t="str">
        <f>REPLACE(INDEX(GroupVertices[Group],MATCH("~"&amp;Vertices[[#This Row],[Vertex]],GroupVertices[Vertex],0)),1,1,"")</f>
        <v>22</v>
      </c>
      <c r="BR20" s="45">
        <v>0</v>
      </c>
      <c r="BS20" s="46">
        <v>0</v>
      </c>
      <c r="BT20" s="45">
        <v>2</v>
      </c>
      <c r="BU20" s="46">
        <v>3.6363636363636362</v>
      </c>
      <c r="BV20" s="45">
        <v>0</v>
      </c>
      <c r="BW20" s="46">
        <v>0</v>
      </c>
      <c r="BX20" s="45">
        <v>24</v>
      </c>
      <c r="BY20" s="46">
        <v>43.63636363636363</v>
      </c>
      <c r="BZ20" s="45">
        <v>55</v>
      </c>
      <c r="CA20" s="45"/>
      <c r="CB20" s="45"/>
      <c r="CC20" s="45"/>
      <c r="CD20" s="45"/>
      <c r="CE20" s="45"/>
      <c r="CF20" s="45"/>
      <c r="CG20" s="114" t="s">
        <v>11286</v>
      </c>
      <c r="CH20" s="114" t="s">
        <v>11286</v>
      </c>
      <c r="CI20" s="114" t="s">
        <v>11415</v>
      </c>
      <c r="CJ20" s="114" t="s">
        <v>11415</v>
      </c>
      <c r="CK20" s="2"/>
    </row>
    <row r="21" spans="1:89" ht="41.45" customHeight="1">
      <c r="A21" s="61" t="s">
        <v>328</v>
      </c>
      <c r="C21" s="62"/>
      <c r="D21" s="62" t="s">
        <v>64</v>
      </c>
      <c r="E21" s="63">
        <v>70</v>
      </c>
      <c r="F21" s="65"/>
      <c r="G21" s="101" t="str">
        <f>HYPERLINK("https://pbs.twimg.com/profile_images/1703168316561653760/vXfyIs5A_normal.jpg")</f>
        <v>https://pbs.twimg.com/profile_images/1703168316561653760/vXfyIs5A_normal.jpg</v>
      </c>
      <c r="H21" s="62"/>
      <c r="I21" s="66" t="s">
        <v>328</v>
      </c>
      <c r="J21" s="67"/>
      <c r="K21" s="67" t="s">
        <v>75</v>
      </c>
      <c r="L21" s="66" t="s">
        <v>2115</v>
      </c>
      <c r="M21" s="70">
        <v>5999.8</v>
      </c>
      <c r="N21" s="71">
        <v>7833.35791015625</v>
      </c>
      <c r="O21" s="71">
        <v>8682.34765625</v>
      </c>
      <c r="P21" s="72"/>
      <c r="Q21" s="73"/>
      <c r="R21" s="73"/>
      <c r="S21" s="87"/>
      <c r="T21" s="45">
        <v>3</v>
      </c>
      <c r="U21" s="45">
        <v>1</v>
      </c>
      <c r="V21" s="46">
        <v>2</v>
      </c>
      <c r="W21" s="46">
        <v>0.00939</v>
      </c>
      <c r="X21" s="46">
        <v>0</v>
      </c>
      <c r="Y21" s="46">
        <v>0.005523</v>
      </c>
      <c r="Z21" s="46">
        <v>0</v>
      </c>
      <c r="AA21" s="46">
        <v>0</v>
      </c>
      <c r="AB21" s="68">
        <v>24</v>
      </c>
      <c r="AC21" s="68"/>
      <c r="AD21" s="69"/>
      <c r="AE21" s="76" t="s">
        <v>1348</v>
      </c>
      <c r="AF21" s="80" t="s">
        <v>1200</v>
      </c>
      <c r="AG21" s="76">
        <v>12451</v>
      </c>
      <c r="AH21" s="76">
        <v>317</v>
      </c>
      <c r="AI21" s="76">
        <v>10130</v>
      </c>
      <c r="AJ21" s="76">
        <v>51</v>
      </c>
      <c r="AK21" s="76">
        <v>9914</v>
      </c>
      <c r="AL21" s="76">
        <v>765</v>
      </c>
      <c r="AM21" s="76" t="b">
        <v>0</v>
      </c>
      <c r="AN21" s="78">
        <v>44627.23131944444</v>
      </c>
      <c r="AO21" s="76" t="s">
        <v>1657</v>
      </c>
      <c r="AP21" s="76" t="s">
        <v>1769</v>
      </c>
      <c r="AQ21" s="82" t="str">
        <f>HYPERLINK("https://t.co/CcLzatL6BS")</f>
        <v>https://t.co/CcLzatL6BS</v>
      </c>
      <c r="AR21" s="82" t="str">
        <f>HYPERLINK("http://www.pdxrealmedia.com")</f>
        <v>http://www.pdxrealmedia.com</v>
      </c>
      <c r="AS21" s="76" t="s">
        <v>1963</v>
      </c>
      <c r="AT21" s="76"/>
      <c r="AU21" s="76"/>
      <c r="AV21" s="76"/>
      <c r="AW21" s="76"/>
      <c r="AX21" s="82" t="str">
        <f>HYPERLINK("https://t.co/CcLzatL6BS")</f>
        <v>https://t.co/CcLzatL6BS</v>
      </c>
      <c r="AY21" s="76" t="b">
        <v>1</v>
      </c>
      <c r="AZ21" s="76"/>
      <c r="BA21" s="76"/>
      <c r="BB21" s="76" t="b">
        <v>1</v>
      </c>
      <c r="BC21" s="76" t="b">
        <v>1</v>
      </c>
      <c r="BD21" s="76" t="b">
        <v>1</v>
      </c>
      <c r="BE21" s="76" t="b">
        <v>0</v>
      </c>
      <c r="BF21" s="76" t="b">
        <v>0</v>
      </c>
      <c r="BG21" s="76" t="b">
        <v>0</v>
      </c>
      <c r="BH21" s="76" t="b">
        <v>0</v>
      </c>
      <c r="BI21" s="82" t="str">
        <f>HYPERLINK("https://pbs.twimg.com/profile_banners/1500706012386390017/1698203451")</f>
        <v>https://pbs.twimg.com/profile_banners/1500706012386390017/1698203451</v>
      </c>
      <c r="BJ21" s="76"/>
      <c r="BK21" s="76" t="s">
        <v>2092</v>
      </c>
      <c r="BL21" s="76" t="b">
        <v>0</v>
      </c>
      <c r="BM21" s="76"/>
      <c r="BN21" s="76" t="s">
        <v>66</v>
      </c>
      <c r="BO21" s="76" t="s">
        <v>2094</v>
      </c>
      <c r="BP21" s="82" t="str">
        <f>HYPERLINK("https://twitter.com/pdxreal1")</f>
        <v>https://twitter.com/pdxreal1</v>
      </c>
      <c r="BQ21" s="76" t="str">
        <f>REPLACE(INDEX(GroupVertices[Group],MATCH("~"&amp;Vertices[[#This Row],[Vertex]],GroupVertices[Vertex],0)),1,1,"")</f>
        <v>11</v>
      </c>
      <c r="BR21" s="45">
        <v>2</v>
      </c>
      <c r="BS21" s="46">
        <v>5.405405405405405</v>
      </c>
      <c r="BT21" s="45">
        <v>0</v>
      </c>
      <c r="BU21" s="46">
        <v>0</v>
      </c>
      <c r="BV21" s="45">
        <v>0</v>
      </c>
      <c r="BW21" s="46">
        <v>0</v>
      </c>
      <c r="BX21" s="45">
        <v>16</v>
      </c>
      <c r="BY21" s="46">
        <v>43.24324324324324</v>
      </c>
      <c r="BZ21" s="45">
        <v>37</v>
      </c>
      <c r="CA21" s="45" t="s">
        <v>11030</v>
      </c>
      <c r="CB21" s="45" t="s">
        <v>11030</v>
      </c>
      <c r="CC21" s="45" t="s">
        <v>618</v>
      </c>
      <c r="CD21" s="45" t="s">
        <v>618</v>
      </c>
      <c r="CE21" s="45"/>
      <c r="CF21" s="45"/>
      <c r="CG21" s="114" t="s">
        <v>11290</v>
      </c>
      <c r="CH21" s="114" t="s">
        <v>11290</v>
      </c>
      <c r="CI21" s="114" t="s">
        <v>11419</v>
      </c>
      <c r="CJ21" s="114" t="s">
        <v>11419</v>
      </c>
      <c r="CK21" s="2"/>
    </row>
    <row r="22" spans="1:89" ht="41.45" customHeight="1">
      <c r="A22" s="61" t="s">
        <v>241</v>
      </c>
      <c r="C22" s="62"/>
      <c r="D22" s="62" t="s">
        <v>64</v>
      </c>
      <c r="E22" s="63">
        <v>70</v>
      </c>
      <c r="F22" s="65"/>
      <c r="G22" s="101" t="str">
        <f>HYPERLINK("https://pbs.twimg.com/profile_images/1502835376179716098/qbQEcjQQ_normal.jpg")</f>
        <v>https://pbs.twimg.com/profile_images/1502835376179716098/qbQEcjQQ_normal.jpg</v>
      </c>
      <c r="H22" s="62"/>
      <c r="I22" s="66" t="s">
        <v>241</v>
      </c>
      <c r="J22" s="67"/>
      <c r="K22" s="67" t="s">
        <v>75</v>
      </c>
      <c r="L22" s="66" t="s">
        <v>2133</v>
      </c>
      <c r="M22" s="70">
        <v>1</v>
      </c>
      <c r="N22" s="71">
        <v>4663.37109375</v>
      </c>
      <c r="O22" s="71">
        <v>1256.1748046875</v>
      </c>
      <c r="P22" s="72"/>
      <c r="Q22" s="73"/>
      <c r="R22" s="73"/>
      <c r="S22" s="87"/>
      <c r="T22" s="45">
        <v>0</v>
      </c>
      <c r="U22" s="45">
        <v>2</v>
      </c>
      <c r="V22" s="46">
        <v>2</v>
      </c>
      <c r="W22" s="46">
        <v>0.00939</v>
      </c>
      <c r="X22" s="46">
        <v>0</v>
      </c>
      <c r="Y22" s="46">
        <v>0.005282</v>
      </c>
      <c r="Z22" s="46">
        <v>0</v>
      </c>
      <c r="AA22" s="46">
        <v>0</v>
      </c>
      <c r="AB22" s="68">
        <v>42</v>
      </c>
      <c r="AC22" s="68"/>
      <c r="AD22" s="69"/>
      <c r="AE22" s="76" t="s">
        <v>1366</v>
      </c>
      <c r="AF22" s="80" t="s">
        <v>1243</v>
      </c>
      <c r="AG22" s="76">
        <v>439</v>
      </c>
      <c r="AH22" s="76">
        <v>109</v>
      </c>
      <c r="AI22" s="76">
        <v>38621</v>
      </c>
      <c r="AJ22" s="76">
        <v>17</v>
      </c>
      <c r="AK22" s="76">
        <v>78301</v>
      </c>
      <c r="AL22" s="76">
        <v>20096</v>
      </c>
      <c r="AM22" s="76" t="b">
        <v>0</v>
      </c>
      <c r="AN22" s="78">
        <v>43737.934583333335</v>
      </c>
      <c r="AO22" s="76" t="s">
        <v>849</v>
      </c>
      <c r="AP22" s="76"/>
      <c r="AQ22" s="76"/>
      <c r="AR22" s="76"/>
      <c r="AS22" s="76"/>
      <c r="AT22" s="76"/>
      <c r="AU22" s="76"/>
      <c r="AV22" s="76"/>
      <c r="AW22" s="76"/>
      <c r="AX22" s="76"/>
      <c r="AY22" s="76" t="b">
        <v>0</v>
      </c>
      <c r="AZ22" s="76"/>
      <c r="BA22" s="76"/>
      <c r="BB22" s="76" t="b">
        <v>1</v>
      </c>
      <c r="BC22" s="76" t="b">
        <v>1</v>
      </c>
      <c r="BD22" s="76" t="b">
        <v>1</v>
      </c>
      <c r="BE22" s="76" t="b">
        <v>0</v>
      </c>
      <c r="BF22" s="76" t="b">
        <v>0</v>
      </c>
      <c r="BG22" s="76" t="b">
        <v>0</v>
      </c>
      <c r="BH22" s="76" t="b">
        <v>0</v>
      </c>
      <c r="BI22" s="82" t="str">
        <f>HYPERLINK("https://pbs.twimg.com/profile_banners/1178435687634239488/1673108496")</f>
        <v>https://pbs.twimg.com/profile_banners/1178435687634239488/1673108496</v>
      </c>
      <c r="BJ22" s="76"/>
      <c r="BK22" s="76" t="s">
        <v>2092</v>
      </c>
      <c r="BL22" s="76" t="b">
        <v>0</v>
      </c>
      <c r="BM22" s="76"/>
      <c r="BN22" s="76" t="s">
        <v>66</v>
      </c>
      <c r="BO22" s="76" t="s">
        <v>2094</v>
      </c>
      <c r="BP22" s="82" t="str">
        <f>HYPERLINK("https://twitter.com/tina67536990")</f>
        <v>https://twitter.com/tina67536990</v>
      </c>
      <c r="BQ22" s="76" t="str">
        <f>REPLACE(INDEX(GroupVertices[Group],MATCH("~"&amp;Vertices[[#This Row],[Vertex]],GroupVertices[Vertex],0)),1,1,"")</f>
        <v>21</v>
      </c>
      <c r="BR22" s="45">
        <v>0</v>
      </c>
      <c r="BS22" s="46">
        <v>0</v>
      </c>
      <c r="BT22" s="45">
        <v>4</v>
      </c>
      <c r="BU22" s="46">
        <v>9.523809523809524</v>
      </c>
      <c r="BV22" s="45">
        <v>0</v>
      </c>
      <c r="BW22" s="46">
        <v>0</v>
      </c>
      <c r="BX22" s="45">
        <v>20</v>
      </c>
      <c r="BY22" s="46">
        <v>47.61904761904762</v>
      </c>
      <c r="BZ22" s="45">
        <v>42</v>
      </c>
      <c r="CA22" s="45" t="s">
        <v>11031</v>
      </c>
      <c r="CB22" s="45" t="s">
        <v>11031</v>
      </c>
      <c r="CC22" s="45" t="s">
        <v>600</v>
      </c>
      <c r="CD22" s="45" t="s">
        <v>600</v>
      </c>
      <c r="CE22" s="45"/>
      <c r="CF22" s="45"/>
      <c r="CG22" s="114" t="s">
        <v>11302</v>
      </c>
      <c r="CH22" s="114" t="s">
        <v>11302</v>
      </c>
      <c r="CI22" s="114" t="s">
        <v>11431</v>
      </c>
      <c r="CJ22" s="114" t="s">
        <v>11431</v>
      </c>
      <c r="CK22" s="2"/>
    </row>
    <row r="23" spans="1:89" ht="41.45" customHeight="1">
      <c r="A23" s="61" t="s">
        <v>317</v>
      </c>
      <c r="C23" s="62"/>
      <c r="D23" s="62" t="s">
        <v>64</v>
      </c>
      <c r="E23" s="63">
        <v>70</v>
      </c>
      <c r="F23" s="65"/>
      <c r="G23" s="101" t="str">
        <f>HYPERLINK("https://pbs.twimg.com/profile_images/1486363097468129282/ghLus6Sx_normal.jpg")</f>
        <v>https://pbs.twimg.com/profile_images/1486363097468129282/ghLus6Sx_normal.jpg</v>
      </c>
      <c r="H23" s="62"/>
      <c r="I23" s="66" t="s">
        <v>317</v>
      </c>
      <c r="J23" s="67"/>
      <c r="K23" s="67" t="s">
        <v>75</v>
      </c>
      <c r="L23" s="66" t="s">
        <v>2145</v>
      </c>
      <c r="M23" s="70">
        <v>2000.6</v>
      </c>
      <c r="N23" s="71">
        <v>7427.17431640625</v>
      </c>
      <c r="O23" s="71">
        <v>9526.517578125</v>
      </c>
      <c r="P23" s="72"/>
      <c r="Q23" s="73"/>
      <c r="R23" s="73"/>
      <c r="S23" s="87"/>
      <c r="T23" s="45">
        <v>1</v>
      </c>
      <c r="U23" s="45">
        <v>1</v>
      </c>
      <c r="V23" s="46">
        <v>2</v>
      </c>
      <c r="W23" s="46">
        <v>0.00939</v>
      </c>
      <c r="X23" s="46">
        <v>0</v>
      </c>
      <c r="Y23" s="46">
        <v>0.005282</v>
      </c>
      <c r="Z23" s="46">
        <v>0</v>
      </c>
      <c r="AA23" s="46">
        <v>0</v>
      </c>
      <c r="AB23" s="68">
        <v>54</v>
      </c>
      <c r="AC23" s="68"/>
      <c r="AD23" s="69"/>
      <c r="AE23" s="76" t="s">
        <v>1378</v>
      </c>
      <c r="AF23" s="80" t="s">
        <v>1567</v>
      </c>
      <c r="AG23" s="76">
        <v>718723</v>
      </c>
      <c r="AH23" s="76">
        <v>981</v>
      </c>
      <c r="AI23" s="76">
        <v>44685</v>
      </c>
      <c r="AJ23" s="76">
        <v>4782</v>
      </c>
      <c r="AK23" s="76">
        <v>1590</v>
      </c>
      <c r="AL23" s="76">
        <v>11186</v>
      </c>
      <c r="AM23" s="76" t="b">
        <v>0</v>
      </c>
      <c r="AN23" s="78">
        <v>41362.111342592594</v>
      </c>
      <c r="AO23" s="76" t="s">
        <v>1672</v>
      </c>
      <c r="AP23" s="76" t="s">
        <v>1797</v>
      </c>
      <c r="AQ23" s="82" t="str">
        <f>HYPERLINK("https://t.co/u4gkyewb25")</f>
        <v>https://t.co/u4gkyewb25</v>
      </c>
      <c r="AR23" s="82" t="str">
        <f>HYPERLINK("https://www.the33rdteam.com/")</f>
        <v>https://www.the33rdteam.com/</v>
      </c>
      <c r="AS23" s="76" t="s">
        <v>1978</v>
      </c>
      <c r="AT23" s="76"/>
      <c r="AU23" s="76"/>
      <c r="AV23" s="76"/>
      <c r="AW23" s="76"/>
      <c r="AX23" s="82" t="str">
        <f>HYPERLINK("https://t.co/u4gkyewb25")</f>
        <v>https://t.co/u4gkyewb25</v>
      </c>
      <c r="AY23" s="76" t="b">
        <v>1</v>
      </c>
      <c r="AZ23" s="76"/>
      <c r="BA23" s="76"/>
      <c r="BB23" s="76" t="b">
        <v>1</v>
      </c>
      <c r="BC23" s="76" t="b">
        <v>1</v>
      </c>
      <c r="BD23" s="76" t="b">
        <v>0</v>
      </c>
      <c r="BE23" s="76" t="b">
        <v>0</v>
      </c>
      <c r="BF23" s="76" t="b">
        <v>1</v>
      </c>
      <c r="BG23" s="76" t="b">
        <v>0</v>
      </c>
      <c r="BH23" s="76" t="b">
        <v>0</v>
      </c>
      <c r="BI23" s="82" t="str">
        <f>HYPERLINK("https://pbs.twimg.com/profile_banners/1312367672/1672794698")</f>
        <v>https://pbs.twimg.com/profile_banners/1312367672/1672794698</v>
      </c>
      <c r="BJ23" s="76"/>
      <c r="BK23" s="76" t="s">
        <v>2093</v>
      </c>
      <c r="BL23" s="76" t="b">
        <v>0</v>
      </c>
      <c r="BM23" s="76"/>
      <c r="BN23" s="76" t="s">
        <v>66</v>
      </c>
      <c r="BO23" s="76" t="s">
        <v>2094</v>
      </c>
      <c r="BP23" s="82" t="str">
        <f>HYPERLINK("https://twitter.com/mysportsupdate")</f>
        <v>https://twitter.com/mysportsupdate</v>
      </c>
      <c r="BQ23" s="76" t="str">
        <f>REPLACE(INDEX(GroupVertices[Group],MATCH("~"&amp;Vertices[[#This Row],[Vertex]],GroupVertices[Vertex],0)),1,1,"")</f>
        <v>12</v>
      </c>
      <c r="BR23" s="45">
        <v>0</v>
      </c>
      <c r="BS23" s="46">
        <v>0</v>
      </c>
      <c r="BT23" s="45">
        <v>3</v>
      </c>
      <c r="BU23" s="46">
        <v>7.142857142857143</v>
      </c>
      <c r="BV23" s="45">
        <v>0</v>
      </c>
      <c r="BW23" s="46">
        <v>0</v>
      </c>
      <c r="BX23" s="45">
        <v>22</v>
      </c>
      <c r="BY23" s="46">
        <v>52.38095238095238</v>
      </c>
      <c r="BZ23" s="45">
        <v>42</v>
      </c>
      <c r="CA23" s="45"/>
      <c r="CB23" s="45"/>
      <c r="CC23" s="45"/>
      <c r="CD23" s="45"/>
      <c r="CE23" s="45" t="s">
        <v>595</v>
      </c>
      <c r="CF23" s="45" t="s">
        <v>595</v>
      </c>
      <c r="CG23" s="114" t="s">
        <v>11307</v>
      </c>
      <c r="CH23" s="114" t="s">
        <v>11307</v>
      </c>
      <c r="CI23" s="114" t="s">
        <v>11436</v>
      </c>
      <c r="CJ23" s="114" t="s">
        <v>11436</v>
      </c>
      <c r="CK23" s="2"/>
    </row>
    <row r="24" spans="1:89" ht="41.45" customHeight="1">
      <c r="A24" s="61" t="s">
        <v>250</v>
      </c>
      <c r="C24" s="62"/>
      <c r="D24" s="62" t="s">
        <v>64</v>
      </c>
      <c r="E24" s="63">
        <v>70</v>
      </c>
      <c r="F24" s="65"/>
      <c r="G24" s="101" t="str">
        <f>HYPERLINK("https://pbs.twimg.com/profile_images/1456067272/SFC_run__3_normal.jpg")</f>
        <v>https://pbs.twimg.com/profile_images/1456067272/SFC_run__3_normal.jpg</v>
      </c>
      <c r="H24" s="62"/>
      <c r="I24" s="66" t="s">
        <v>250</v>
      </c>
      <c r="J24" s="67"/>
      <c r="K24" s="67" t="s">
        <v>75</v>
      </c>
      <c r="L24" s="66" t="s">
        <v>2153</v>
      </c>
      <c r="M24" s="70">
        <v>1</v>
      </c>
      <c r="N24" s="71">
        <v>4663.37109375</v>
      </c>
      <c r="O24" s="71">
        <v>9546.6767578125</v>
      </c>
      <c r="P24" s="72"/>
      <c r="Q24" s="73"/>
      <c r="R24" s="73"/>
      <c r="S24" s="87"/>
      <c r="T24" s="45">
        <v>0</v>
      </c>
      <c r="U24" s="45">
        <v>2</v>
      </c>
      <c r="V24" s="46">
        <v>2</v>
      </c>
      <c r="W24" s="46">
        <v>0.00939</v>
      </c>
      <c r="X24" s="46">
        <v>0</v>
      </c>
      <c r="Y24" s="46">
        <v>0.005282</v>
      </c>
      <c r="Z24" s="46">
        <v>0</v>
      </c>
      <c r="AA24" s="46">
        <v>0</v>
      </c>
      <c r="AB24" s="68">
        <v>62</v>
      </c>
      <c r="AC24" s="68"/>
      <c r="AD24" s="69"/>
      <c r="AE24" s="76" t="s">
        <v>1386</v>
      </c>
      <c r="AF24" s="80" t="s">
        <v>1572</v>
      </c>
      <c r="AG24" s="76">
        <v>537</v>
      </c>
      <c r="AH24" s="76">
        <v>1297</v>
      </c>
      <c r="AI24" s="76">
        <v>7372</v>
      </c>
      <c r="AJ24" s="76">
        <v>14</v>
      </c>
      <c r="AK24" s="76">
        <v>48928</v>
      </c>
      <c r="AL24" s="76">
        <v>25</v>
      </c>
      <c r="AM24" s="76" t="b">
        <v>0</v>
      </c>
      <c r="AN24" s="78">
        <v>40247.908854166664</v>
      </c>
      <c r="AO24" s="76" t="s">
        <v>858</v>
      </c>
      <c r="AP24" s="76" t="s">
        <v>1804</v>
      </c>
      <c r="AQ24" s="82" t="str">
        <f>HYPERLINK("https://t.co/iXE8VM4OO3")</f>
        <v>https://t.co/iXE8VM4OO3</v>
      </c>
      <c r="AR24" s="82" t="str">
        <f>HYPERLINK("http://www.steveritchieontrack.com")</f>
        <v>http://www.steveritchieontrack.com</v>
      </c>
      <c r="AS24" s="76" t="s">
        <v>1981</v>
      </c>
      <c r="AT24" s="76"/>
      <c r="AU24" s="76"/>
      <c r="AV24" s="76"/>
      <c r="AW24" s="76"/>
      <c r="AX24" s="82" t="str">
        <f>HYPERLINK("https://t.co/iXE8VM4OO3")</f>
        <v>https://t.co/iXE8VM4OO3</v>
      </c>
      <c r="AY24" s="76" t="b">
        <v>0</v>
      </c>
      <c r="AZ24" s="76"/>
      <c r="BA24" s="76"/>
      <c r="BB24" s="76" t="b">
        <v>1</v>
      </c>
      <c r="BC24" s="76" t="b">
        <v>1</v>
      </c>
      <c r="BD24" s="76" t="b">
        <v>1</v>
      </c>
      <c r="BE24" s="76" t="b">
        <v>0</v>
      </c>
      <c r="BF24" s="76" t="b">
        <v>1</v>
      </c>
      <c r="BG24" s="76" t="b">
        <v>0</v>
      </c>
      <c r="BH24" s="76" t="b">
        <v>0</v>
      </c>
      <c r="BI24" s="76"/>
      <c r="BJ24" s="76"/>
      <c r="BK24" s="76" t="s">
        <v>2092</v>
      </c>
      <c r="BL24" s="76" t="b">
        <v>0</v>
      </c>
      <c r="BM24" s="76"/>
      <c r="BN24" s="76" t="s">
        <v>66</v>
      </c>
      <c r="BO24" s="76" t="s">
        <v>2094</v>
      </c>
      <c r="BP24" s="82" t="str">
        <f>HYPERLINK("https://twitter.com/ritchieontrack")</f>
        <v>https://twitter.com/ritchieontrack</v>
      </c>
      <c r="BQ24" s="76" t="str">
        <f>REPLACE(INDEX(GroupVertices[Group],MATCH("~"&amp;Vertices[[#This Row],[Vertex]],GroupVertices[Vertex],0)),1,1,"")</f>
        <v>20</v>
      </c>
      <c r="BR24" s="45">
        <v>0</v>
      </c>
      <c r="BS24" s="46">
        <v>0</v>
      </c>
      <c r="BT24" s="45">
        <v>2</v>
      </c>
      <c r="BU24" s="46">
        <v>9.090909090909092</v>
      </c>
      <c r="BV24" s="45">
        <v>0</v>
      </c>
      <c r="BW24" s="46">
        <v>0</v>
      </c>
      <c r="BX24" s="45">
        <v>7</v>
      </c>
      <c r="BY24" s="46">
        <v>31.818181818181817</v>
      </c>
      <c r="BZ24" s="45">
        <v>22</v>
      </c>
      <c r="CA24" s="45"/>
      <c r="CB24" s="45"/>
      <c r="CC24" s="45"/>
      <c r="CD24" s="45"/>
      <c r="CE24" s="45"/>
      <c r="CF24" s="45"/>
      <c r="CG24" s="114" t="s">
        <v>11313</v>
      </c>
      <c r="CH24" s="114" t="s">
        <v>11313</v>
      </c>
      <c r="CI24" s="114" t="s">
        <v>11442</v>
      </c>
      <c r="CJ24" s="114" t="s">
        <v>11442</v>
      </c>
      <c r="CK24" s="2"/>
    </row>
    <row r="25" spans="1:89" ht="41.45" customHeight="1">
      <c r="A25" s="61" t="s">
        <v>251</v>
      </c>
      <c r="C25" s="62"/>
      <c r="D25" s="62" t="s">
        <v>64</v>
      </c>
      <c r="E25" s="63">
        <v>70</v>
      </c>
      <c r="F25" s="65"/>
      <c r="G25" s="101" t="str">
        <f>HYPERLINK("https://pbs.twimg.com/profile_images/3496131857/27b7dd6426f485f12e1ade72c3a257b7_normal.jpeg")</f>
        <v>https://pbs.twimg.com/profile_images/3496131857/27b7dd6426f485f12e1ade72c3a257b7_normal.jpeg</v>
      </c>
      <c r="H25" s="62"/>
      <c r="I25" s="66" t="s">
        <v>251</v>
      </c>
      <c r="J25" s="67"/>
      <c r="K25" s="67" t="s">
        <v>75</v>
      </c>
      <c r="L25" s="66" t="s">
        <v>2156</v>
      </c>
      <c r="M25" s="70">
        <v>1</v>
      </c>
      <c r="N25" s="71">
        <v>4663.37109375</v>
      </c>
      <c r="O25" s="71">
        <v>7888.576171875</v>
      </c>
      <c r="P25" s="72"/>
      <c r="Q25" s="73"/>
      <c r="R25" s="73"/>
      <c r="S25" s="87"/>
      <c r="T25" s="45">
        <v>0</v>
      </c>
      <c r="U25" s="45">
        <v>2</v>
      </c>
      <c r="V25" s="46">
        <v>2</v>
      </c>
      <c r="W25" s="46">
        <v>0.00939</v>
      </c>
      <c r="X25" s="46">
        <v>0</v>
      </c>
      <c r="Y25" s="46">
        <v>0.005282</v>
      </c>
      <c r="Z25" s="46">
        <v>0</v>
      </c>
      <c r="AA25" s="46">
        <v>0</v>
      </c>
      <c r="AB25" s="68">
        <v>65</v>
      </c>
      <c r="AC25" s="68"/>
      <c r="AD25" s="69"/>
      <c r="AE25" s="76" t="s">
        <v>1389</v>
      </c>
      <c r="AF25" s="80" t="s">
        <v>1574</v>
      </c>
      <c r="AG25" s="76">
        <v>248</v>
      </c>
      <c r="AH25" s="76">
        <v>1845</v>
      </c>
      <c r="AI25" s="76">
        <v>3662</v>
      </c>
      <c r="AJ25" s="76">
        <v>0</v>
      </c>
      <c r="AK25" s="76">
        <v>12187</v>
      </c>
      <c r="AL25" s="76">
        <v>492</v>
      </c>
      <c r="AM25" s="76" t="b">
        <v>0</v>
      </c>
      <c r="AN25" s="78">
        <v>41220.24689814815</v>
      </c>
      <c r="AO25" s="76" t="s">
        <v>852</v>
      </c>
      <c r="AP25" s="76" t="s">
        <v>1807</v>
      </c>
      <c r="AQ25" s="82" t="str">
        <f>HYPERLINK("https://t.co/Zn1i3keDIu")</f>
        <v>https://t.co/Zn1i3keDIu</v>
      </c>
      <c r="AR25" s="82" t="str">
        <f>HYPERLINK("https://www.amazon.com/hz/wishlist/ls/D1MUJKBRSI4Z?ref_=wl_share")</f>
        <v>https://www.amazon.com/hz/wishlist/ls/D1MUJKBRSI4Z?ref_=wl_share</v>
      </c>
      <c r="AS25" s="76" t="s">
        <v>1983</v>
      </c>
      <c r="AT25" s="76"/>
      <c r="AU25" s="76"/>
      <c r="AV25" s="76"/>
      <c r="AW25" s="76"/>
      <c r="AX25" s="82" t="str">
        <f>HYPERLINK("https://t.co/Zn1i3keDIu")</f>
        <v>https://t.co/Zn1i3keDIu</v>
      </c>
      <c r="AY25" s="76" t="b">
        <v>0</v>
      </c>
      <c r="AZ25" s="76"/>
      <c r="BA25" s="76"/>
      <c r="BB25" s="76" t="b">
        <v>1</v>
      </c>
      <c r="BC25" s="76" t="b">
        <v>1</v>
      </c>
      <c r="BD25" s="76" t="b">
        <v>1</v>
      </c>
      <c r="BE25" s="76" t="b">
        <v>0</v>
      </c>
      <c r="BF25" s="76" t="b">
        <v>1</v>
      </c>
      <c r="BG25" s="76" t="b">
        <v>0</v>
      </c>
      <c r="BH25" s="76" t="b">
        <v>0</v>
      </c>
      <c r="BI25" s="82" t="str">
        <f>HYPERLINK("https://pbs.twimg.com/profile_banners/931345868/1694297951")</f>
        <v>https://pbs.twimg.com/profile_banners/931345868/1694297951</v>
      </c>
      <c r="BJ25" s="76"/>
      <c r="BK25" s="76" t="s">
        <v>2092</v>
      </c>
      <c r="BL25" s="76" t="b">
        <v>0</v>
      </c>
      <c r="BM25" s="76"/>
      <c r="BN25" s="76" t="s">
        <v>66</v>
      </c>
      <c r="BO25" s="76" t="s">
        <v>2094</v>
      </c>
      <c r="BP25" s="82" t="str">
        <f>HYPERLINK("https://twitter.com/seenadsgo")</f>
        <v>https://twitter.com/seenadsgo</v>
      </c>
      <c r="BQ25" s="76" t="str">
        <f>REPLACE(INDEX(GroupVertices[Group],MATCH("~"&amp;Vertices[[#This Row],[Vertex]],GroupVertices[Vertex],0)),1,1,"")</f>
        <v>19</v>
      </c>
      <c r="BR25" s="45">
        <v>0</v>
      </c>
      <c r="BS25" s="46">
        <v>0</v>
      </c>
      <c r="BT25" s="45">
        <v>6</v>
      </c>
      <c r="BU25" s="46">
        <v>11.320754716981131</v>
      </c>
      <c r="BV25" s="45">
        <v>0</v>
      </c>
      <c r="BW25" s="46">
        <v>0</v>
      </c>
      <c r="BX25" s="45">
        <v>19</v>
      </c>
      <c r="BY25" s="46">
        <v>35.84905660377358</v>
      </c>
      <c r="BZ25" s="45">
        <v>53</v>
      </c>
      <c r="CA25" s="45"/>
      <c r="CB25" s="45"/>
      <c r="CC25" s="45"/>
      <c r="CD25" s="45"/>
      <c r="CE25" s="45"/>
      <c r="CF25" s="45"/>
      <c r="CG25" s="114" t="s">
        <v>11314</v>
      </c>
      <c r="CH25" s="114" t="s">
        <v>11314</v>
      </c>
      <c r="CI25" s="114" t="s">
        <v>11443</v>
      </c>
      <c r="CJ25" s="114" t="s">
        <v>11443</v>
      </c>
      <c r="CK25" s="2"/>
    </row>
    <row r="26" spans="1:89" ht="41.45" customHeight="1">
      <c r="A26" s="61" t="s">
        <v>254</v>
      </c>
      <c r="C26" s="62"/>
      <c r="D26" s="62" t="s">
        <v>64</v>
      </c>
      <c r="E26" s="63">
        <v>70</v>
      </c>
      <c r="F26" s="65"/>
      <c r="G26" s="101" t="str">
        <f>HYPERLINK("https://pbs.twimg.com/profile_images/1179538510945980416/vHHbVeXI_normal.jpg")</f>
        <v>https://pbs.twimg.com/profile_images/1179538510945980416/vHHbVeXI_normal.jpg</v>
      </c>
      <c r="H26" s="62"/>
      <c r="I26" s="66" t="s">
        <v>254</v>
      </c>
      <c r="J26" s="67"/>
      <c r="K26" s="67" t="s">
        <v>75</v>
      </c>
      <c r="L26" s="66" t="s">
        <v>2162</v>
      </c>
      <c r="M26" s="70">
        <v>1</v>
      </c>
      <c r="N26" s="71">
        <v>4663.37109375</v>
      </c>
      <c r="O26" s="71">
        <v>6230.4755859375</v>
      </c>
      <c r="P26" s="72"/>
      <c r="Q26" s="73"/>
      <c r="R26" s="73"/>
      <c r="S26" s="87"/>
      <c r="T26" s="45">
        <v>0</v>
      </c>
      <c r="U26" s="45">
        <v>2</v>
      </c>
      <c r="V26" s="46">
        <v>2</v>
      </c>
      <c r="W26" s="46">
        <v>0.00939</v>
      </c>
      <c r="X26" s="46">
        <v>0</v>
      </c>
      <c r="Y26" s="46">
        <v>0.005282</v>
      </c>
      <c r="Z26" s="46">
        <v>0</v>
      </c>
      <c r="AA26" s="46">
        <v>0</v>
      </c>
      <c r="AB26" s="68">
        <v>71</v>
      </c>
      <c r="AC26" s="68"/>
      <c r="AD26" s="69"/>
      <c r="AE26" s="76" t="s">
        <v>1395</v>
      </c>
      <c r="AF26" s="80" t="s">
        <v>1249</v>
      </c>
      <c r="AG26" s="76">
        <v>640</v>
      </c>
      <c r="AH26" s="76">
        <v>714</v>
      </c>
      <c r="AI26" s="76">
        <v>50366</v>
      </c>
      <c r="AJ26" s="76">
        <v>2</v>
      </c>
      <c r="AK26" s="76">
        <v>196596</v>
      </c>
      <c r="AL26" s="76">
        <v>3651</v>
      </c>
      <c r="AM26" s="76" t="b">
        <v>0</v>
      </c>
      <c r="AN26" s="78">
        <v>43439.96890046296</v>
      </c>
      <c r="AO26" s="76" t="s">
        <v>852</v>
      </c>
      <c r="AP26" s="76" t="s">
        <v>1813</v>
      </c>
      <c r="AQ26" s="76"/>
      <c r="AR26" s="76"/>
      <c r="AS26" s="76"/>
      <c r="AT26" s="76"/>
      <c r="AU26" s="76"/>
      <c r="AV26" s="76"/>
      <c r="AW26" s="76">
        <v>1.64929221574144E+18</v>
      </c>
      <c r="AX26" s="76"/>
      <c r="AY26" s="76" t="b">
        <v>0</v>
      </c>
      <c r="AZ26" s="76"/>
      <c r="BA26" s="76"/>
      <c r="BB26" s="76" t="b">
        <v>1</v>
      </c>
      <c r="BC26" s="76" t="b">
        <v>1</v>
      </c>
      <c r="BD26" s="76" t="b">
        <v>1</v>
      </c>
      <c r="BE26" s="76" t="b">
        <v>0</v>
      </c>
      <c r="BF26" s="76" t="b">
        <v>1</v>
      </c>
      <c r="BG26" s="76" t="b">
        <v>0</v>
      </c>
      <c r="BH26" s="76" t="b">
        <v>0</v>
      </c>
      <c r="BI26" s="82" t="str">
        <f>HYPERLINK("https://pbs.twimg.com/profile_banners/1070456589897756672/1544093643")</f>
        <v>https://pbs.twimg.com/profile_banners/1070456589897756672/1544093643</v>
      </c>
      <c r="BJ26" s="76"/>
      <c r="BK26" s="76" t="s">
        <v>2092</v>
      </c>
      <c r="BL26" s="76" t="b">
        <v>0</v>
      </c>
      <c r="BM26" s="76"/>
      <c r="BN26" s="76" t="s">
        <v>66</v>
      </c>
      <c r="BO26" s="76" t="s">
        <v>2094</v>
      </c>
      <c r="BP26" s="82" t="str">
        <f>HYPERLINK("https://twitter.com/on_bicycle")</f>
        <v>https://twitter.com/on_bicycle</v>
      </c>
      <c r="BQ26" s="76" t="str">
        <f>REPLACE(INDEX(GroupVertices[Group],MATCH("~"&amp;Vertices[[#This Row],[Vertex]],GroupVertices[Vertex],0)),1,1,"")</f>
        <v>18</v>
      </c>
      <c r="BR26" s="45">
        <v>1</v>
      </c>
      <c r="BS26" s="46">
        <v>2.1739130434782608</v>
      </c>
      <c r="BT26" s="45">
        <v>3</v>
      </c>
      <c r="BU26" s="46">
        <v>6.521739130434782</v>
      </c>
      <c r="BV26" s="45">
        <v>0</v>
      </c>
      <c r="BW26" s="46">
        <v>0</v>
      </c>
      <c r="BX26" s="45">
        <v>19</v>
      </c>
      <c r="BY26" s="46">
        <v>41.30434782608695</v>
      </c>
      <c r="BZ26" s="45">
        <v>46</v>
      </c>
      <c r="CA26" s="45"/>
      <c r="CB26" s="45"/>
      <c r="CC26" s="45"/>
      <c r="CD26" s="45"/>
      <c r="CE26" s="45"/>
      <c r="CF26" s="45"/>
      <c r="CG26" s="114" t="s">
        <v>11317</v>
      </c>
      <c r="CH26" s="114" t="s">
        <v>11317</v>
      </c>
      <c r="CI26" s="114" t="s">
        <v>11446</v>
      </c>
      <c r="CJ26" s="114" t="s">
        <v>11446</v>
      </c>
      <c r="CK26" s="2"/>
    </row>
    <row r="27" spans="1:89" ht="41.45" customHeight="1">
      <c r="A27" s="61" t="s">
        <v>270</v>
      </c>
      <c r="C27" s="62"/>
      <c r="D27" s="62" t="s">
        <v>64</v>
      </c>
      <c r="E27" s="63">
        <v>70</v>
      </c>
      <c r="F27" s="65"/>
      <c r="G27" s="101" t="str">
        <f>HYPERLINK("https://pbs.twimg.com/profile_images/1741678371434807296/1vFvxkHb_normal.jpg")</f>
        <v>https://pbs.twimg.com/profile_images/1741678371434807296/1vFvxkHb_normal.jpg</v>
      </c>
      <c r="H27" s="62"/>
      <c r="I27" s="66" t="s">
        <v>270</v>
      </c>
      <c r="J27" s="67"/>
      <c r="K27" s="67" t="s">
        <v>75</v>
      </c>
      <c r="L27" s="66" t="s">
        <v>2188</v>
      </c>
      <c r="M27" s="70">
        <v>1</v>
      </c>
      <c r="N27" s="71">
        <v>5476.41259765625</v>
      </c>
      <c r="O27" s="71">
        <v>9526.517578125</v>
      </c>
      <c r="P27" s="72"/>
      <c r="Q27" s="73"/>
      <c r="R27" s="73"/>
      <c r="S27" s="87"/>
      <c r="T27" s="45">
        <v>0</v>
      </c>
      <c r="U27" s="45">
        <v>2</v>
      </c>
      <c r="V27" s="46">
        <v>2</v>
      </c>
      <c r="W27" s="46">
        <v>0.00939</v>
      </c>
      <c r="X27" s="46">
        <v>0</v>
      </c>
      <c r="Y27" s="46">
        <v>0.005282</v>
      </c>
      <c r="Z27" s="46">
        <v>0</v>
      </c>
      <c r="AA27" s="46">
        <v>0</v>
      </c>
      <c r="AB27" s="68">
        <v>97</v>
      </c>
      <c r="AC27" s="68"/>
      <c r="AD27" s="69"/>
      <c r="AE27" s="76" t="s">
        <v>1421</v>
      </c>
      <c r="AF27" s="80" t="s">
        <v>1590</v>
      </c>
      <c r="AG27" s="76">
        <v>397</v>
      </c>
      <c r="AH27" s="76">
        <v>736</v>
      </c>
      <c r="AI27" s="76">
        <v>29886</v>
      </c>
      <c r="AJ27" s="76">
        <v>6</v>
      </c>
      <c r="AK27" s="76">
        <v>86387</v>
      </c>
      <c r="AL27" s="76">
        <v>5751</v>
      </c>
      <c r="AM27" s="76" t="b">
        <v>0</v>
      </c>
      <c r="AN27" s="78">
        <v>40834.89142361111</v>
      </c>
      <c r="AO27" s="76" t="s">
        <v>1690</v>
      </c>
      <c r="AP27" s="76" t="s">
        <v>1839</v>
      </c>
      <c r="AQ27" s="82" t="str">
        <f>HYPERLINK("https://t.co/fUrIGpLtoE")</f>
        <v>https://t.co/fUrIGpLtoE</v>
      </c>
      <c r="AR27" s="82" t="str">
        <f>HYPERLINK("https://www.keith-holven.com")</f>
        <v>https://www.keith-holven.com</v>
      </c>
      <c r="AS27" s="76" t="s">
        <v>2001</v>
      </c>
      <c r="AT27" s="76"/>
      <c r="AU27" s="76"/>
      <c r="AV27" s="76"/>
      <c r="AW27" s="76"/>
      <c r="AX27" s="82" t="str">
        <f>HYPERLINK("https://t.co/fUrIGpLtoE")</f>
        <v>https://t.co/fUrIGpLtoE</v>
      </c>
      <c r="AY27" s="76" t="b">
        <v>0</v>
      </c>
      <c r="AZ27" s="76"/>
      <c r="BA27" s="76"/>
      <c r="BB27" s="76" t="b">
        <v>0</v>
      </c>
      <c r="BC27" s="76" t="b">
        <v>1</v>
      </c>
      <c r="BD27" s="76" t="b">
        <v>1</v>
      </c>
      <c r="BE27" s="76" t="b">
        <v>0</v>
      </c>
      <c r="BF27" s="76" t="b">
        <v>1</v>
      </c>
      <c r="BG27" s="76" t="b">
        <v>0</v>
      </c>
      <c r="BH27" s="76" t="b">
        <v>0</v>
      </c>
      <c r="BI27" s="82" t="str">
        <f>HYPERLINK("https://pbs.twimg.com/profile_banners/393650365/1668972194")</f>
        <v>https://pbs.twimg.com/profile_banners/393650365/1668972194</v>
      </c>
      <c r="BJ27" s="76"/>
      <c r="BK27" s="76" t="s">
        <v>2092</v>
      </c>
      <c r="BL27" s="76" t="b">
        <v>0</v>
      </c>
      <c r="BM27" s="76"/>
      <c r="BN27" s="76" t="s">
        <v>66</v>
      </c>
      <c r="BO27" s="76" t="s">
        <v>2094</v>
      </c>
      <c r="BP27" s="82" t="str">
        <f>HYPERLINK("https://twitter.com/toonimator")</f>
        <v>https://twitter.com/toonimator</v>
      </c>
      <c r="BQ27" s="76" t="str">
        <f>REPLACE(INDEX(GroupVertices[Group],MATCH("~"&amp;Vertices[[#This Row],[Vertex]],GroupVertices[Vertex],0)),1,1,"")</f>
        <v>17</v>
      </c>
      <c r="BR27" s="45">
        <v>2</v>
      </c>
      <c r="BS27" s="46">
        <v>3.7735849056603774</v>
      </c>
      <c r="BT27" s="45">
        <v>1</v>
      </c>
      <c r="BU27" s="46">
        <v>1.8867924528301887</v>
      </c>
      <c r="BV27" s="45">
        <v>0</v>
      </c>
      <c r="BW27" s="46">
        <v>0</v>
      </c>
      <c r="BX27" s="45">
        <v>25</v>
      </c>
      <c r="BY27" s="46">
        <v>47.16981132075472</v>
      </c>
      <c r="BZ27" s="45">
        <v>53</v>
      </c>
      <c r="CA27" s="45"/>
      <c r="CB27" s="45"/>
      <c r="CC27" s="45"/>
      <c r="CD27" s="45"/>
      <c r="CE27" s="45"/>
      <c r="CF27" s="45"/>
      <c r="CG27" s="114" t="s">
        <v>11333</v>
      </c>
      <c r="CH27" s="114" t="s">
        <v>11333</v>
      </c>
      <c r="CI27" s="114" t="s">
        <v>11462</v>
      </c>
      <c r="CJ27" s="114" t="s">
        <v>11462</v>
      </c>
      <c r="CK27" s="2"/>
    </row>
    <row r="28" spans="1:89" ht="41.45" customHeight="1">
      <c r="A28" s="61" t="s">
        <v>283</v>
      </c>
      <c r="C28" s="62"/>
      <c r="D28" s="62" t="s">
        <v>64</v>
      </c>
      <c r="E28" s="63">
        <v>70</v>
      </c>
      <c r="F28" s="65"/>
      <c r="G28" s="101" t="str">
        <f>HYPERLINK("https://pbs.twimg.com/profile_images/1603214633028157440/Y8rvzt6Q_normal.jpg")</f>
        <v>https://pbs.twimg.com/profile_images/1603214633028157440/Y8rvzt6Q_normal.jpg</v>
      </c>
      <c r="H28" s="62"/>
      <c r="I28" s="66" t="s">
        <v>283</v>
      </c>
      <c r="J28" s="67"/>
      <c r="K28" s="67" t="s">
        <v>75</v>
      </c>
      <c r="L28" s="66" t="s">
        <v>2210</v>
      </c>
      <c r="M28" s="70">
        <v>1</v>
      </c>
      <c r="N28" s="71">
        <v>8618.1083984375</v>
      </c>
      <c r="O28" s="71">
        <v>9526.517578125</v>
      </c>
      <c r="P28" s="72"/>
      <c r="Q28" s="73"/>
      <c r="R28" s="73"/>
      <c r="S28" s="87"/>
      <c r="T28" s="45">
        <v>0</v>
      </c>
      <c r="U28" s="45">
        <v>2</v>
      </c>
      <c r="V28" s="46">
        <v>2</v>
      </c>
      <c r="W28" s="46">
        <v>0.00939</v>
      </c>
      <c r="X28" s="46">
        <v>0</v>
      </c>
      <c r="Y28" s="46">
        <v>0.005282</v>
      </c>
      <c r="Z28" s="46">
        <v>0</v>
      </c>
      <c r="AA28" s="46">
        <v>0</v>
      </c>
      <c r="AB28" s="68">
        <v>119</v>
      </c>
      <c r="AC28" s="68"/>
      <c r="AD28" s="69"/>
      <c r="AE28" s="76" t="s">
        <v>1443</v>
      </c>
      <c r="AF28" s="80" t="s">
        <v>1265</v>
      </c>
      <c r="AG28" s="76">
        <v>44</v>
      </c>
      <c r="AH28" s="76">
        <v>74</v>
      </c>
      <c r="AI28" s="76">
        <v>149</v>
      </c>
      <c r="AJ28" s="76">
        <v>0</v>
      </c>
      <c r="AK28" s="76">
        <v>460</v>
      </c>
      <c r="AL28" s="76">
        <v>0</v>
      </c>
      <c r="AM28" s="76" t="b">
        <v>0</v>
      </c>
      <c r="AN28" s="78">
        <v>44863.080092592594</v>
      </c>
      <c r="AO28" s="76" t="s">
        <v>852</v>
      </c>
      <c r="AP28" s="76" t="s">
        <v>1860</v>
      </c>
      <c r="AQ28" s="76"/>
      <c r="AR28" s="76"/>
      <c r="AS28" s="76"/>
      <c r="AT28" s="76"/>
      <c r="AU28" s="76"/>
      <c r="AV28" s="76"/>
      <c r="AW28" s="76"/>
      <c r="AX28" s="76"/>
      <c r="AY28" s="76" t="b">
        <v>0</v>
      </c>
      <c r="AZ28" s="76"/>
      <c r="BA28" s="76"/>
      <c r="BB28" s="76" t="b">
        <v>0</v>
      </c>
      <c r="BC28" s="76" t="b">
        <v>1</v>
      </c>
      <c r="BD28" s="76" t="b">
        <v>1</v>
      </c>
      <c r="BE28" s="76" t="b">
        <v>0</v>
      </c>
      <c r="BF28" s="76" t="b">
        <v>1</v>
      </c>
      <c r="BG28" s="76" t="b">
        <v>0</v>
      </c>
      <c r="BH28" s="76" t="b">
        <v>0</v>
      </c>
      <c r="BI28" s="76"/>
      <c r="BJ28" s="76"/>
      <c r="BK28" s="76" t="s">
        <v>2092</v>
      </c>
      <c r="BL28" s="76" t="b">
        <v>0</v>
      </c>
      <c r="BM28" s="76"/>
      <c r="BN28" s="76" t="s">
        <v>66</v>
      </c>
      <c r="BO28" s="76" t="s">
        <v>2094</v>
      </c>
      <c r="BP28" s="82" t="str">
        <f>HYPERLINK("https://twitter.com/wingsatlast")</f>
        <v>https://twitter.com/wingsatlast</v>
      </c>
      <c r="BQ28" s="76" t="str">
        <f>REPLACE(INDEX(GroupVertices[Group],MATCH("~"&amp;Vertices[[#This Row],[Vertex]],GroupVertices[Vertex],0)),1,1,"")</f>
        <v>16</v>
      </c>
      <c r="BR28" s="45">
        <v>3</v>
      </c>
      <c r="BS28" s="46">
        <v>6.382978723404255</v>
      </c>
      <c r="BT28" s="45">
        <v>4</v>
      </c>
      <c r="BU28" s="46">
        <v>8.51063829787234</v>
      </c>
      <c r="BV28" s="45">
        <v>0</v>
      </c>
      <c r="BW28" s="46">
        <v>0</v>
      </c>
      <c r="BX28" s="45">
        <v>20</v>
      </c>
      <c r="BY28" s="46">
        <v>42.5531914893617</v>
      </c>
      <c r="BZ28" s="45">
        <v>47</v>
      </c>
      <c r="CA28" s="45"/>
      <c r="CB28" s="45"/>
      <c r="CC28" s="45"/>
      <c r="CD28" s="45"/>
      <c r="CE28" s="45"/>
      <c r="CF28" s="45"/>
      <c r="CG28" s="114" t="s">
        <v>11346</v>
      </c>
      <c r="CH28" s="114" t="s">
        <v>11346</v>
      </c>
      <c r="CI28" s="114" t="s">
        <v>11475</v>
      </c>
      <c r="CJ28" s="114" t="s">
        <v>11475</v>
      </c>
      <c r="CK28" s="2"/>
    </row>
    <row r="29" spans="1:89" ht="41.45" customHeight="1">
      <c r="A29" s="61" t="s">
        <v>306</v>
      </c>
      <c r="C29" s="62"/>
      <c r="D29" s="62" t="s">
        <v>64</v>
      </c>
      <c r="E29" s="63">
        <v>70</v>
      </c>
      <c r="F29" s="65"/>
      <c r="G29" s="101" t="str">
        <f>HYPERLINK("https://pbs.twimg.com/profile_images/1507397934769344514/c2CFljRv_normal.jpg")</f>
        <v>https://pbs.twimg.com/profile_images/1507397934769344514/c2CFljRv_normal.jpg</v>
      </c>
      <c r="H29" s="62"/>
      <c r="I29" s="66" t="s">
        <v>306</v>
      </c>
      <c r="J29" s="67"/>
      <c r="K29" s="67" t="s">
        <v>75</v>
      </c>
      <c r="L29" s="66" t="s">
        <v>2247</v>
      </c>
      <c r="M29" s="70">
        <v>2000.6</v>
      </c>
      <c r="N29" s="71">
        <v>9404.2060546875</v>
      </c>
      <c r="O29" s="71">
        <v>8682.34765625</v>
      </c>
      <c r="P29" s="72"/>
      <c r="Q29" s="73"/>
      <c r="R29" s="73"/>
      <c r="S29" s="87"/>
      <c r="T29" s="45">
        <v>1</v>
      </c>
      <c r="U29" s="45">
        <v>3</v>
      </c>
      <c r="V29" s="46">
        <v>2</v>
      </c>
      <c r="W29" s="46">
        <v>0.00939</v>
      </c>
      <c r="X29" s="46">
        <v>0</v>
      </c>
      <c r="Y29" s="46">
        <v>0.005523</v>
      </c>
      <c r="Z29" s="46">
        <v>0</v>
      </c>
      <c r="AA29" s="46">
        <v>0</v>
      </c>
      <c r="AB29" s="68">
        <v>156</v>
      </c>
      <c r="AC29" s="68"/>
      <c r="AD29" s="69"/>
      <c r="AE29" s="76" t="s">
        <v>1480</v>
      </c>
      <c r="AF29" s="80" t="s">
        <v>1187</v>
      </c>
      <c r="AG29" s="76">
        <v>972</v>
      </c>
      <c r="AH29" s="76">
        <v>976</v>
      </c>
      <c r="AI29" s="76">
        <v>23786</v>
      </c>
      <c r="AJ29" s="76">
        <v>10</v>
      </c>
      <c r="AK29" s="76">
        <v>38383</v>
      </c>
      <c r="AL29" s="76">
        <v>2437</v>
      </c>
      <c r="AM29" s="76" t="b">
        <v>0</v>
      </c>
      <c r="AN29" s="78">
        <v>44600.89050925926</v>
      </c>
      <c r="AO29" s="76" t="s">
        <v>852</v>
      </c>
      <c r="AP29" s="76" t="s">
        <v>1896</v>
      </c>
      <c r="AQ29" s="76"/>
      <c r="AR29" s="76"/>
      <c r="AS29" s="76"/>
      <c r="AT29" s="82" t="str">
        <f>HYPERLINK("https://t.co/440ZpWCp53")</f>
        <v>https://t.co/440ZpWCp53</v>
      </c>
      <c r="AU29" s="82" t="str">
        <f>HYPERLINK("http://twitch.tv/portlandisburning")</f>
        <v>http://twitch.tv/portlandisburning</v>
      </c>
      <c r="AV29" s="76" t="s">
        <v>2084</v>
      </c>
      <c r="AW29" s="76"/>
      <c r="AX29" s="76"/>
      <c r="AY29" s="76" t="b">
        <v>0</v>
      </c>
      <c r="AZ29" s="76"/>
      <c r="BA29" s="76"/>
      <c r="BB29" s="76" t="b">
        <v>1</v>
      </c>
      <c r="BC29" s="76" t="b">
        <v>0</v>
      </c>
      <c r="BD29" s="76" t="b">
        <v>1</v>
      </c>
      <c r="BE29" s="76" t="b">
        <v>0</v>
      </c>
      <c r="BF29" s="76" t="b">
        <v>1</v>
      </c>
      <c r="BG29" s="76" t="b">
        <v>0</v>
      </c>
      <c r="BH29" s="76" t="b">
        <v>0</v>
      </c>
      <c r="BI29" s="76"/>
      <c r="BJ29" s="76"/>
      <c r="BK29" s="76" t="s">
        <v>2092</v>
      </c>
      <c r="BL29" s="76" t="b">
        <v>0</v>
      </c>
      <c r="BM29" s="76"/>
      <c r="BN29" s="76" t="s">
        <v>66</v>
      </c>
      <c r="BO29" s="76" t="s">
        <v>2094</v>
      </c>
      <c r="BP29" s="82" t="str">
        <f>HYPERLINK("https://twitter.com/pdxsburning")</f>
        <v>https://twitter.com/pdxsburning</v>
      </c>
      <c r="BQ29" s="76" t="str">
        <f>REPLACE(INDEX(GroupVertices[Group],MATCH("~"&amp;Vertices[[#This Row],[Vertex]],GroupVertices[Vertex],0)),1,1,"")</f>
        <v>15</v>
      </c>
      <c r="BR29" s="45">
        <v>0</v>
      </c>
      <c r="BS29" s="46">
        <v>0</v>
      </c>
      <c r="BT29" s="45">
        <v>2</v>
      </c>
      <c r="BU29" s="46">
        <v>5.405405405405405</v>
      </c>
      <c r="BV29" s="45">
        <v>0</v>
      </c>
      <c r="BW29" s="46">
        <v>0</v>
      </c>
      <c r="BX29" s="45">
        <v>18</v>
      </c>
      <c r="BY29" s="46">
        <v>48.648648648648646</v>
      </c>
      <c r="BZ29" s="45">
        <v>37</v>
      </c>
      <c r="CA29" s="45" t="s">
        <v>10994</v>
      </c>
      <c r="CB29" s="45" t="s">
        <v>10994</v>
      </c>
      <c r="CC29" s="45" t="s">
        <v>614</v>
      </c>
      <c r="CD29" s="45" t="s">
        <v>614</v>
      </c>
      <c r="CE29" s="45"/>
      <c r="CF29" s="45"/>
      <c r="CG29" s="114" t="s">
        <v>11366</v>
      </c>
      <c r="CH29" s="114" t="s">
        <v>11366</v>
      </c>
      <c r="CI29" s="114" t="s">
        <v>11495</v>
      </c>
      <c r="CJ29" s="114" t="s">
        <v>11495</v>
      </c>
      <c r="CK29" s="2"/>
    </row>
    <row r="30" spans="1:89" ht="41.45" customHeight="1">
      <c r="A30" s="61" t="s">
        <v>311</v>
      </c>
      <c r="C30" s="62"/>
      <c r="D30" s="62" t="s">
        <v>64</v>
      </c>
      <c r="E30" s="63">
        <v>70</v>
      </c>
      <c r="F30" s="65"/>
      <c r="G30" s="101" t="str">
        <f>HYPERLINK("https://pbs.twimg.com/profile_images/1745292342318469120/FhRvP2yi_normal.jpg")</f>
        <v>https://pbs.twimg.com/profile_images/1745292342318469120/FhRvP2yi_normal.jpg</v>
      </c>
      <c r="H30" s="62"/>
      <c r="I30" s="66" t="s">
        <v>311</v>
      </c>
      <c r="J30" s="67"/>
      <c r="K30" s="67" t="s">
        <v>75</v>
      </c>
      <c r="L30" s="66" t="s">
        <v>2256</v>
      </c>
      <c r="M30" s="70">
        <v>2000.6</v>
      </c>
      <c r="N30" s="71">
        <v>5634.0361328125</v>
      </c>
      <c r="O30" s="71">
        <v>6672.7197265625</v>
      </c>
      <c r="P30" s="72"/>
      <c r="Q30" s="73"/>
      <c r="R30" s="73"/>
      <c r="S30" s="87"/>
      <c r="T30" s="45">
        <v>1</v>
      </c>
      <c r="U30" s="45">
        <v>3</v>
      </c>
      <c r="V30" s="46">
        <v>2</v>
      </c>
      <c r="W30" s="46">
        <v>0.00939</v>
      </c>
      <c r="X30" s="46">
        <v>0</v>
      </c>
      <c r="Y30" s="46">
        <v>0.005523</v>
      </c>
      <c r="Z30" s="46">
        <v>0</v>
      </c>
      <c r="AA30" s="46">
        <v>0</v>
      </c>
      <c r="AB30" s="68">
        <v>165</v>
      </c>
      <c r="AC30" s="68"/>
      <c r="AD30" s="69"/>
      <c r="AE30" s="76" t="s">
        <v>1489</v>
      </c>
      <c r="AF30" s="80" t="s">
        <v>1189</v>
      </c>
      <c r="AG30" s="76">
        <v>406</v>
      </c>
      <c r="AH30" s="76">
        <v>887</v>
      </c>
      <c r="AI30" s="76">
        <v>67635</v>
      </c>
      <c r="AJ30" s="76">
        <v>3</v>
      </c>
      <c r="AK30" s="76">
        <v>103261</v>
      </c>
      <c r="AL30" s="76">
        <v>10619</v>
      </c>
      <c r="AM30" s="76" t="b">
        <v>0</v>
      </c>
      <c r="AN30" s="78">
        <v>42892.863171296296</v>
      </c>
      <c r="AO30" s="76" t="s">
        <v>1722</v>
      </c>
      <c r="AP30" s="76" t="s">
        <v>1905</v>
      </c>
      <c r="AQ30" s="76"/>
      <c r="AR30" s="76"/>
      <c r="AS30" s="76"/>
      <c r="AT30" s="76"/>
      <c r="AU30" s="76"/>
      <c r="AV30" s="76"/>
      <c r="AW30" s="76"/>
      <c r="AX30" s="76"/>
      <c r="AY30" s="76" t="b">
        <v>0</v>
      </c>
      <c r="AZ30" s="76"/>
      <c r="BA30" s="76"/>
      <c r="BB30" s="76" t="b">
        <v>0</v>
      </c>
      <c r="BC30" s="76" t="b">
        <v>0</v>
      </c>
      <c r="BD30" s="76" t="b">
        <v>1</v>
      </c>
      <c r="BE30" s="76" t="b">
        <v>0</v>
      </c>
      <c r="BF30" s="76" t="b">
        <v>1</v>
      </c>
      <c r="BG30" s="76" t="b">
        <v>0</v>
      </c>
      <c r="BH30" s="76" t="b">
        <v>0</v>
      </c>
      <c r="BI30" s="82" t="str">
        <f>HYPERLINK("https://pbs.twimg.com/profile_banners/872192111214338048/1674620470")</f>
        <v>https://pbs.twimg.com/profile_banners/872192111214338048/1674620470</v>
      </c>
      <c r="BJ30" s="76"/>
      <c r="BK30" s="76" t="s">
        <v>2092</v>
      </c>
      <c r="BL30" s="76" t="b">
        <v>0</v>
      </c>
      <c r="BM30" s="76"/>
      <c r="BN30" s="76" t="s">
        <v>66</v>
      </c>
      <c r="BO30" s="76" t="s">
        <v>2094</v>
      </c>
      <c r="BP30" s="82" t="str">
        <f>HYPERLINK("https://twitter.com/a21starman")</f>
        <v>https://twitter.com/a21starman</v>
      </c>
      <c r="BQ30" s="76" t="str">
        <f>REPLACE(INDEX(GroupVertices[Group],MATCH("~"&amp;Vertices[[#This Row],[Vertex]],GroupVertices[Vertex],0)),1,1,"")</f>
        <v>14</v>
      </c>
      <c r="BR30" s="45">
        <v>1</v>
      </c>
      <c r="BS30" s="46">
        <v>1.6129032258064515</v>
      </c>
      <c r="BT30" s="45">
        <v>6</v>
      </c>
      <c r="BU30" s="46">
        <v>9.67741935483871</v>
      </c>
      <c r="BV30" s="45">
        <v>0</v>
      </c>
      <c r="BW30" s="46">
        <v>0</v>
      </c>
      <c r="BX30" s="45">
        <v>24</v>
      </c>
      <c r="BY30" s="46">
        <v>38.70967741935484</v>
      </c>
      <c r="BZ30" s="45">
        <v>62</v>
      </c>
      <c r="CA30" s="45"/>
      <c r="CB30" s="45"/>
      <c r="CC30" s="45"/>
      <c r="CD30" s="45"/>
      <c r="CE30" s="45"/>
      <c r="CF30" s="45"/>
      <c r="CG30" s="114" t="s">
        <v>11372</v>
      </c>
      <c r="CH30" s="114" t="s">
        <v>11372</v>
      </c>
      <c r="CI30" s="114" t="s">
        <v>11501</v>
      </c>
      <c r="CJ30" s="114" t="s">
        <v>11501</v>
      </c>
      <c r="CK30" s="2"/>
    </row>
    <row r="31" spans="1:89" ht="41.45" customHeight="1">
      <c r="A31" s="61" t="s">
        <v>313</v>
      </c>
      <c r="C31" s="62"/>
      <c r="D31" s="62" t="s">
        <v>64</v>
      </c>
      <c r="E31" s="63">
        <v>70</v>
      </c>
      <c r="F31" s="65"/>
      <c r="G31" s="101" t="str">
        <f>HYPERLINK("https://pbs.twimg.com/profile_images/1733025846527729664/gp53xZCk_normal.jpg")</f>
        <v>https://pbs.twimg.com/profile_images/1733025846527729664/gp53xZCk_normal.jpg</v>
      </c>
      <c r="H31" s="62"/>
      <c r="I31" s="66" t="s">
        <v>313</v>
      </c>
      <c r="J31" s="67"/>
      <c r="K31" s="67" t="s">
        <v>75</v>
      </c>
      <c r="L31" s="66" t="s">
        <v>2261</v>
      </c>
      <c r="M31" s="70">
        <v>1</v>
      </c>
      <c r="N31" s="71">
        <v>6262.51025390625</v>
      </c>
      <c r="O31" s="71">
        <v>9526.517578125</v>
      </c>
      <c r="P31" s="72"/>
      <c r="Q31" s="73"/>
      <c r="R31" s="73"/>
      <c r="S31" s="87"/>
      <c r="T31" s="45">
        <v>0</v>
      </c>
      <c r="U31" s="45">
        <v>2</v>
      </c>
      <c r="V31" s="46">
        <v>2</v>
      </c>
      <c r="W31" s="46">
        <v>0.00939</v>
      </c>
      <c r="X31" s="46">
        <v>0</v>
      </c>
      <c r="Y31" s="46">
        <v>0.005282</v>
      </c>
      <c r="Z31" s="46">
        <v>0</v>
      </c>
      <c r="AA31" s="46">
        <v>0</v>
      </c>
      <c r="AB31" s="68">
        <v>170</v>
      </c>
      <c r="AC31" s="68"/>
      <c r="AD31" s="69"/>
      <c r="AE31" s="76" t="s">
        <v>1494</v>
      </c>
      <c r="AF31" s="80" t="s">
        <v>1620</v>
      </c>
      <c r="AG31" s="76">
        <v>14956</v>
      </c>
      <c r="AH31" s="76">
        <v>8020</v>
      </c>
      <c r="AI31" s="76">
        <v>263989</v>
      </c>
      <c r="AJ31" s="76">
        <v>228</v>
      </c>
      <c r="AK31" s="76">
        <v>147246</v>
      </c>
      <c r="AL31" s="76">
        <v>11756</v>
      </c>
      <c r="AM31" s="76" t="b">
        <v>0</v>
      </c>
      <c r="AN31" s="78">
        <v>39877.12087962963</v>
      </c>
      <c r="AO31" s="76" t="s">
        <v>1725</v>
      </c>
      <c r="AP31" s="76" t="s">
        <v>1908</v>
      </c>
      <c r="AQ31" s="76"/>
      <c r="AR31" s="76"/>
      <c r="AS31" s="76"/>
      <c r="AT31" s="76"/>
      <c r="AU31" s="76"/>
      <c r="AV31" s="76"/>
      <c r="AW31" s="76">
        <v>1.75071138813648E+18</v>
      </c>
      <c r="AX31" s="76"/>
      <c r="AY31" s="76" t="b">
        <v>0</v>
      </c>
      <c r="AZ31" s="76"/>
      <c r="BA31" s="76"/>
      <c r="BB31" s="76" t="b">
        <v>1</v>
      </c>
      <c r="BC31" s="76" t="b">
        <v>0</v>
      </c>
      <c r="BD31" s="76" t="b">
        <v>0</v>
      </c>
      <c r="BE31" s="76" t="b">
        <v>0</v>
      </c>
      <c r="BF31" s="76" t="b">
        <v>1</v>
      </c>
      <c r="BG31" s="76" t="b">
        <v>0</v>
      </c>
      <c r="BH31" s="76" t="b">
        <v>0</v>
      </c>
      <c r="BI31" s="82" t="str">
        <f>HYPERLINK("https://pbs.twimg.com/profile_banners/22869375/1691718877")</f>
        <v>https://pbs.twimg.com/profile_banners/22869375/1691718877</v>
      </c>
      <c r="BJ31" s="76"/>
      <c r="BK31" s="76" t="s">
        <v>2092</v>
      </c>
      <c r="BL31" s="76" t="b">
        <v>0</v>
      </c>
      <c r="BM31" s="76"/>
      <c r="BN31" s="76" t="s">
        <v>66</v>
      </c>
      <c r="BO31" s="76" t="s">
        <v>2094</v>
      </c>
      <c r="BP31" s="82" t="str">
        <f>HYPERLINK("https://twitter.com/lostdiva")</f>
        <v>https://twitter.com/lostdiva</v>
      </c>
      <c r="BQ31" s="76" t="str">
        <f>REPLACE(INDEX(GroupVertices[Group],MATCH("~"&amp;Vertices[[#This Row],[Vertex]],GroupVertices[Vertex],0)),1,1,"")</f>
        <v>13</v>
      </c>
      <c r="BR31" s="45">
        <v>0</v>
      </c>
      <c r="BS31" s="46">
        <v>0</v>
      </c>
      <c r="BT31" s="45">
        <v>2</v>
      </c>
      <c r="BU31" s="46">
        <v>13.333333333333334</v>
      </c>
      <c r="BV31" s="45">
        <v>0</v>
      </c>
      <c r="BW31" s="46">
        <v>0</v>
      </c>
      <c r="BX31" s="45">
        <v>8</v>
      </c>
      <c r="BY31" s="46">
        <v>53.333333333333336</v>
      </c>
      <c r="BZ31" s="45">
        <v>15</v>
      </c>
      <c r="CA31" s="45"/>
      <c r="CB31" s="45"/>
      <c r="CC31" s="45"/>
      <c r="CD31" s="45"/>
      <c r="CE31" s="45"/>
      <c r="CF31" s="45"/>
      <c r="CG31" s="114" t="s">
        <v>11374</v>
      </c>
      <c r="CH31" s="114" t="s">
        <v>11374</v>
      </c>
      <c r="CI31" s="114" t="s">
        <v>11503</v>
      </c>
      <c r="CJ31" s="114" t="s">
        <v>11503</v>
      </c>
      <c r="CK31" s="2"/>
    </row>
    <row r="32" spans="1:89" ht="41.45" customHeight="1">
      <c r="A32" s="61" t="s">
        <v>339</v>
      </c>
      <c r="C32" s="62"/>
      <c r="D32" s="62" t="s">
        <v>64</v>
      </c>
      <c r="E32" s="63">
        <v>70</v>
      </c>
      <c r="F32" s="65"/>
      <c r="G32" s="101" t="str">
        <f>HYPERLINK("https://pbs.twimg.com/profile_images/59386571/DickHughes_normal.jpg")</f>
        <v>https://pbs.twimg.com/profile_images/59386571/DickHughes_normal.jpg</v>
      </c>
      <c r="H32" s="62"/>
      <c r="I32" s="66" t="s">
        <v>339</v>
      </c>
      <c r="J32" s="67"/>
      <c r="K32" s="67" t="s">
        <v>75</v>
      </c>
      <c r="L32" s="66" t="s">
        <v>2312</v>
      </c>
      <c r="M32" s="70">
        <v>1</v>
      </c>
      <c r="N32" s="71">
        <v>6327.85009765625</v>
      </c>
      <c r="O32" s="71">
        <v>3777.343994140625</v>
      </c>
      <c r="P32" s="72"/>
      <c r="Q32" s="73"/>
      <c r="R32" s="73"/>
      <c r="S32" s="45"/>
      <c r="T32" s="45">
        <v>0</v>
      </c>
      <c r="U32" s="45">
        <v>1</v>
      </c>
      <c r="V32" s="46">
        <v>0</v>
      </c>
      <c r="W32" s="46">
        <v>0.004695</v>
      </c>
      <c r="X32" s="46">
        <v>0</v>
      </c>
      <c r="Y32" s="46">
        <v>0.004673</v>
      </c>
      <c r="Z32" s="46">
        <v>0</v>
      </c>
      <c r="AA32" s="46">
        <v>0</v>
      </c>
      <c r="AB32" s="68">
        <v>3</v>
      </c>
      <c r="AC32" s="68"/>
      <c r="AD32" s="69"/>
      <c r="AE32" s="76" t="s">
        <v>1543</v>
      </c>
      <c r="AF32" s="80" t="s">
        <v>1648</v>
      </c>
      <c r="AG32" s="76">
        <v>4737</v>
      </c>
      <c r="AH32" s="76">
        <v>2933</v>
      </c>
      <c r="AI32" s="76">
        <v>17968</v>
      </c>
      <c r="AJ32" s="76">
        <v>165</v>
      </c>
      <c r="AK32" s="76">
        <v>6731</v>
      </c>
      <c r="AL32" s="76">
        <v>412</v>
      </c>
      <c r="AM32" s="76" t="b">
        <v>0</v>
      </c>
      <c r="AN32" s="78">
        <v>39694.97238425926</v>
      </c>
      <c r="AO32" s="76" t="s">
        <v>1649</v>
      </c>
      <c r="AP32" s="76" t="s">
        <v>1955</v>
      </c>
      <c r="AQ32" s="82" t="str">
        <f>HYPERLINK("https://t.co/jVj1FHapGR")</f>
        <v>https://t.co/jVj1FHapGR</v>
      </c>
      <c r="AR32" s="82" t="str">
        <f>HYPERLINK("https://www.oregoncapitalinsider.com/capital_chatter/")</f>
        <v>https://www.oregoncapitalinsider.com/capital_chatter/</v>
      </c>
      <c r="AS32" s="76" t="s">
        <v>2057</v>
      </c>
      <c r="AT32" s="76"/>
      <c r="AU32" s="76"/>
      <c r="AV32" s="76"/>
      <c r="AW32" s="76"/>
      <c r="AX32" s="82" t="str">
        <f>HYPERLINK("https://t.co/jVj1FHapGR")</f>
        <v>https://t.co/jVj1FHapGR</v>
      </c>
      <c r="AY32" s="76" t="b">
        <v>0</v>
      </c>
      <c r="AZ32" s="76"/>
      <c r="BA32" s="76"/>
      <c r="BB32" s="76" t="b">
        <v>0</v>
      </c>
      <c r="BC32" s="76" t="b">
        <v>1</v>
      </c>
      <c r="BD32" s="76" t="b">
        <v>1</v>
      </c>
      <c r="BE32" s="76" t="b">
        <v>0</v>
      </c>
      <c r="BF32" s="76" t="b">
        <v>1</v>
      </c>
      <c r="BG32" s="76" t="b">
        <v>0</v>
      </c>
      <c r="BH32" s="76" t="b">
        <v>0</v>
      </c>
      <c r="BI32" s="76"/>
      <c r="BJ32" s="76"/>
      <c r="BK32" s="76" t="s">
        <v>2092</v>
      </c>
      <c r="BL32" s="76" t="b">
        <v>0</v>
      </c>
      <c r="BM32" s="76"/>
      <c r="BN32" s="76" t="s">
        <v>66</v>
      </c>
      <c r="BO32" s="76" t="s">
        <v>2094</v>
      </c>
      <c r="BP32" s="82" t="str">
        <f>HYPERLINK("https://twitter.com/dickhughes")</f>
        <v>https://twitter.com/dickhughes</v>
      </c>
      <c r="BQ32" s="76" t="str">
        <f>REPLACE(INDEX(GroupVertices[Group],MATCH("~"&amp;Vertices[[#This Row],[Vertex]],GroupVertices[Vertex],0)),1,1,"")</f>
        <v>64</v>
      </c>
      <c r="BR32" s="45">
        <v>0</v>
      </c>
      <c r="BS32" s="46">
        <v>0</v>
      </c>
      <c r="BT32" s="45">
        <v>2</v>
      </c>
      <c r="BU32" s="46">
        <v>6.666666666666667</v>
      </c>
      <c r="BV32" s="45">
        <v>0</v>
      </c>
      <c r="BW32" s="46">
        <v>0</v>
      </c>
      <c r="BX32" s="45">
        <v>14</v>
      </c>
      <c r="BY32" s="46">
        <v>46.666666666666664</v>
      </c>
      <c r="BZ32" s="45">
        <v>30</v>
      </c>
      <c r="CA32" s="45" t="s">
        <v>11037</v>
      </c>
      <c r="CB32" s="45" t="s">
        <v>11037</v>
      </c>
      <c r="CC32" s="45" t="s">
        <v>620</v>
      </c>
      <c r="CD32" s="45" t="s">
        <v>620</v>
      </c>
      <c r="CE32" s="45" t="s">
        <v>597</v>
      </c>
      <c r="CF32" s="45" t="s">
        <v>597</v>
      </c>
      <c r="CG32" s="114" t="s">
        <v>11280</v>
      </c>
      <c r="CH32" s="114" t="s">
        <v>11280</v>
      </c>
      <c r="CI32" s="114" t="s">
        <v>11409</v>
      </c>
      <c r="CJ32" s="114" t="s">
        <v>11409</v>
      </c>
      <c r="CK32" s="2"/>
    </row>
    <row r="33" spans="1:89" ht="41.45" customHeight="1">
      <c r="A33" s="61" t="s">
        <v>436</v>
      </c>
      <c r="C33" s="62"/>
      <c r="D33" s="62" t="s">
        <v>64</v>
      </c>
      <c r="E33" s="63">
        <v>70</v>
      </c>
      <c r="F33" s="65"/>
      <c r="G33" s="101" t="str">
        <f>HYPERLINK("https://pbs.twimg.com/profile_images/1308077943722188801/klegmvs8_normal.jpg")</f>
        <v>https://pbs.twimg.com/profile_images/1308077943722188801/klegmvs8_normal.jpg</v>
      </c>
      <c r="H33" s="62"/>
      <c r="I33" s="66" t="s">
        <v>436</v>
      </c>
      <c r="J33" s="67"/>
      <c r="K33" s="67" t="s">
        <v>75</v>
      </c>
      <c r="L33" s="66" t="s">
        <v>2095</v>
      </c>
      <c r="M33" s="70">
        <v>2000.6</v>
      </c>
      <c r="N33" s="71">
        <v>6327.85009765625</v>
      </c>
      <c r="O33" s="71">
        <v>3117.127685546875</v>
      </c>
      <c r="P33" s="72"/>
      <c r="Q33" s="73"/>
      <c r="R33" s="73"/>
      <c r="S33" s="87"/>
      <c r="T33" s="45">
        <v>1</v>
      </c>
      <c r="U33" s="45">
        <v>0</v>
      </c>
      <c r="V33" s="46">
        <v>0</v>
      </c>
      <c r="W33" s="46">
        <v>0.004695</v>
      </c>
      <c r="X33" s="46">
        <v>0</v>
      </c>
      <c r="Y33" s="46">
        <v>0.004673</v>
      </c>
      <c r="Z33" s="46">
        <v>0</v>
      </c>
      <c r="AA33" s="46">
        <v>0</v>
      </c>
      <c r="AB33" s="68">
        <v>4</v>
      </c>
      <c r="AC33" s="68"/>
      <c r="AD33" s="69"/>
      <c r="AE33" s="76" t="s">
        <v>1328</v>
      </c>
      <c r="AF33" s="80" t="s">
        <v>1544</v>
      </c>
      <c r="AG33" s="76">
        <v>2347</v>
      </c>
      <c r="AH33" s="76">
        <v>405</v>
      </c>
      <c r="AI33" s="76">
        <v>1769</v>
      </c>
      <c r="AJ33" s="76">
        <v>106</v>
      </c>
      <c r="AK33" s="76">
        <v>3</v>
      </c>
      <c r="AL33" s="76">
        <v>72</v>
      </c>
      <c r="AM33" s="76" t="b">
        <v>0</v>
      </c>
      <c r="AN33" s="78">
        <v>42048.18802083333</v>
      </c>
      <c r="AO33" s="76" t="s">
        <v>1649</v>
      </c>
      <c r="AP33" s="76" t="s">
        <v>1749</v>
      </c>
      <c r="AQ33" s="82" t="str">
        <f>HYPERLINK("https://t.co/sLkdX9Kc0M")</f>
        <v>https://t.co/sLkdX9Kc0M</v>
      </c>
      <c r="AR33" s="82" t="str">
        <f>HYPERLINK("http://oregoncapitalinsider.com")</f>
        <v>http://oregoncapitalinsider.com</v>
      </c>
      <c r="AS33" s="76" t="s">
        <v>620</v>
      </c>
      <c r="AT33" s="76"/>
      <c r="AU33" s="76"/>
      <c r="AV33" s="76"/>
      <c r="AW33" s="76"/>
      <c r="AX33" s="82" t="str">
        <f>HYPERLINK("https://t.co/sLkdX9Kc0M")</f>
        <v>https://t.co/sLkdX9Kc0M</v>
      </c>
      <c r="AY33" s="76" t="b">
        <v>0</v>
      </c>
      <c r="AZ33" s="76"/>
      <c r="BA33" s="76"/>
      <c r="BB33" s="76" t="b">
        <v>0</v>
      </c>
      <c r="BC33" s="76" t="b">
        <v>1</v>
      </c>
      <c r="BD33" s="76" t="b">
        <v>1</v>
      </c>
      <c r="BE33" s="76" t="b">
        <v>0</v>
      </c>
      <c r="BF33" s="76" t="b">
        <v>0</v>
      </c>
      <c r="BG33" s="76" t="b">
        <v>0</v>
      </c>
      <c r="BH33" s="76" t="b">
        <v>0</v>
      </c>
      <c r="BI33" s="82" t="str">
        <f>HYPERLINK("https://pbs.twimg.com/profile_banners/3017995074/1423802253")</f>
        <v>https://pbs.twimg.com/profile_banners/3017995074/1423802253</v>
      </c>
      <c r="BJ33" s="76"/>
      <c r="BK33" s="76" t="s">
        <v>2092</v>
      </c>
      <c r="BL33" s="76" t="b">
        <v>0</v>
      </c>
      <c r="BM33" s="76"/>
      <c r="BN33" s="76" t="s">
        <v>65</v>
      </c>
      <c r="BO33" s="76" t="s">
        <v>2094</v>
      </c>
      <c r="BP33" s="82" t="str">
        <f>HYPERLINK("https://twitter.com/orcapitalbureau")</f>
        <v>https://twitter.com/orcapitalbureau</v>
      </c>
      <c r="BQ33" s="76" t="str">
        <f>REPLACE(INDEX(GroupVertices[Group],MATCH("~"&amp;Vertices[[#This Row],[Vertex]],GroupVertices[Vertex],0)),1,1,"")</f>
        <v>64</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340</v>
      </c>
      <c r="C34" s="62"/>
      <c r="D34" s="62" t="s">
        <v>64</v>
      </c>
      <c r="E34" s="63">
        <v>70</v>
      </c>
      <c r="F34" s="65"/>
      <c r="G34" s="101" t="str">
        <f>HYPERLINK("https://pbs.twimg.com/profile_images/1637734939511738369/fI3Z_uX7_normal.jpg")</f>
        <v>https://pbs.twimg.com/profile_images/1637734939511738369/fI3Z_uX7_normal.jpg</v>
      </c>
      <c r="H34" s="62"/>
      <c r="I34" s="66" t="s">
        <v>340</v>
      </c>
      <c r="J34" s="67"/>
      <c r="K34" s="67" t="s">
        <v>75</v>
      </c>
      <c r="L34" s="66" t="s">
        <v>2097</v>
      </c>
      <c r="M34" s="70">
        <v>2000.6</v>
      </c>
      <c r="N34" s="71">
        <v>5060.79833984375</v>
      </c>
      <c r="O34" s="71">
        <v>4572.37548828125</v>
      </c>
      <c r="P34" s="72"/>
      <c r="Q34" s="73"/>
      <c r="R34" s="73"/>
      <c r="S34" s="87"/>
      <c r="T34" s="45">
        <v>1</v>
      </c>
      <c r="U34" s="45">
        <v>0</v>
      </c>
      <c r="V34" s="46">
        <v>0</v>
      </c>
      <c r="W34" s="46">
        <v>0.00626</v>
      </c>
      <c r="X34" s="46">
        <v>0</v>
      </c>
      <c r="Y34" s="46">
        <v>0.004368</v>
      </c>
      <c r="Z34" s="46">
        <v>0</v>
      </c>
      <c r="AA34" s="46">
        <v>0</v>
      </c>
      <c r="AB34" s="68">
        <v>6</v>
      </c>
      <c r="AC34" s="68"/>
      <c r="AD34" s="69"/>
      <c r="AE34" s="76" t="s">
        <v>1330</v>
      </c>
      <c r="AF34" s="80" t="s">
        <v>1546</v>
      </c>
      <c r="AG34" s="76">
        <v>174391</v>
      </c>
      <c r="AH34" s="76">
        <v>3867</v>
      </c>
      <c r="AI34" s="76">
        <v>39966</v>
      </c>
      <c r="AJ34" s="76">
        <v>123</v>
      </c>
      <c r="AK34" s="76">
        <v>53520</v>
      </c>
      <c r="AL34" s="76">
        <v>5602</v>
      </c>
      <c r="AM34" s="76" t="b">
        <v>0</v>
      </c>
      <c r="AN34" s="78">
        <v>43790.64618055556</v>
      </c>
      <c r="AO34" s="76" t="s">
        <v>1651</v>
      </c>
      <c r="AP34" s="76" t="s">
        <v>1751</v>
      </c>
      <c r="AQ34" s="76"/>
      <c r="AR34" s="76"/>
      <c r="AS34" s="76"/>
      <c r="AT34" s="76"/>
      <c r="AU34" s="76"/>
      <c r="AV34" s="76"/>
      <c r="AW34" s="76">
        <v>1.74802630976935E+18</v>
      </c>
      <c r="AX34" s="76"/>
      <c r="AY34" s="76" t="b">
        <v>1</v>
      </c>
      <c r="AZ34" s="76"/>
      <c r="BA34" s="76"/>
      <c r="BB34" s="76" t="b">
        <v>1</v>
      </c>
      <c r="BC34" s="76" t="b">
        <v>0</v>
      </c>
      <c r="BD34" s="76" t="b">
        <v>1</v>
      </c>
      <c r="BE34" s="76" t="b">
        <v>0</v>
      </c>
      <c r="BF34" s="76" t="b">
        <v>1</v>
      </c>
      <c r="BG34" s="76" t="b">
        <v>0</v>
      </c>
      <c r="BH34" s="76" t="b">
        <v>0</v>
      </c>
      <c r="BI34" s="82" t="str">
        <f>HYPERLINK("https://pbs.twimg.com/profile_banners/1197537724988895233/1679302104")</f>
        <v>https://pbs.twimg.com/profile_banners/1197537724988895233/1679302104</v>
      </c>
      <c r="BJ34" s="76"/>
      <c r="BK34" s="76" t="s">
        <v>2092</v>
      </c>
      <c r="BL34" s="76" t="b">
        <v>0</v>
      </c>
      <c r="BM34" s="76"/>
      <c r="BN34" s="76" t="s">
        <v>65</v>
      </c>
      <c r="BO34" s="76" t="s">
        <v>2094</v>
      </c>
      <c r="BP34" s="82" t="str">
        <f>HYPERLINK("https://twitter.com/chase_the_high")</f>
        <v>https://twitter.com/chase_the_high</v>
      </c>
      <c r="BQ34" s="76" t="str">
        <f>REPLACE(INDEX(GroupVertices[Group],MATCH("~"&amp;Vertices[[#This Row],[Vertex]],GroupVertices[Vertex],0)),1,1,"")</f>
        <v>23</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341</v>
      </c>
      <c r="C35" s="62"/>
      <c r="D35" s="62" t="s">
        <v>64</v>
      </c>
      <c r="E35" s="63">
        <v>70</v>
      </c>
      <c r="F35" s="65"/>
      <c r="G35" s="101" t="str">
        <f>HYPERLINK("https://pbs.twimg.com/profile_images/1709096838887071744/yqbCgKjC_normal.jpg")</f>
        <v>https://pbs.twimg.com/profile_images/1709096838887071744/yqbCgKjC_normal.jpg</v>
      </c>
      <c r="H35" s="62"/>
      <c r="I35" s="66" t="s">
        <v>341</v>
      </c>
      <c r="J35" s="67"/>
      <c r="K35" s="67" t="s">
        <v>75</v>
      </c>
      <c r="L35" s="66" t="s">
        <v>2098</v>
      </c>
      <c r="M35" s="70">
        <v>2000.6</v>
      </c>
      <c r="N35" s="71">
        <v>4663.37109375</v>
      </c>
      <c r="O35" s="71">
        <v>3768.524169921875</v>
      </c>
      <c r="P35" s="72"/>
      <c r="Q35" s="73"/>
      <c r="R35" s="73"/>
      <c r="S35" s="87"/>
      <c r="T35" s="45">
        <v>1</v>
      </c>
      <c r="U35" s="45">
        <v>0</v>
      </c>
      <c r="V35" s="46">
        <v>0</v>
      </c>
      <c r="W35" s="46">
        <v>0.00626</v>
      </c>
      <c r="X35" s="46">
        <v>0</v>
      </c>
      <c r="Y35" s="46">
        <v>0.004368</v>
      </c>
      <c r="Z35" s="46">
        <v>0</v>
      </c>
      <c r="AA35" s="46">
        <v>0</v>
      </c>
      <c r="AB35" s="68">
        <v>7</v>
      </c>
      <c r="AC35" s="68"/>
      <c r="AD35" s="69"/>
      <c r="AE35" s="76" t="s">
        <v>1331</v>
      </c>
      <c r="AF35" s="80" t="s">
        <v>1145</v>
      </c>
      <c r="AG35" s="76">
        <v>714</v>
      </c>
      <c r="AH35" s="76">
        <v>714</v>
      </c>
      <c r="AI35" s="76">
        <v>6416</v>
      </c>
      <c r="AJ35" s="76">
        <v>5</v>
      </c>
      <c r="AK35" s="76">
        <v>32614</v>
      </c>
      <c r="AL35" s="76">
        <v>1193</v>
      </c>
      <c r="AM35" s="76" t="b">
        <v>0</v>
      </c>
      <c r="AN35" s="78">
        <v>44769.74652777778</v>
      </c>
      <c r="AO35" s="76" t="s">
        <v>1652</v>
      </c>
      <c r="AP35" s="76" t="s">
        <v>1752</v>
      </c>
      <c r="AQ35" s="76"/>
      <c r="AR35" s="76"/>
      <c r="AS35" s="76"/>
      <c r="AT35" s="76"/>
      <c r="AU35" s="76"/>
      <c r="AV35" s="76"/>
      <c r="AW35" s="76"/>
      <c r="AX35" s="76"/>
      <c r="AY35" s="76" t="b">
        <v>0</v>
      </c>
      <c r="AZ35" s="76"/>
      <c r="BA35" s="76"/>
      <c r="BB35" s="76" t="b">
        <v>1</v>
      </c>
      <c r="BC35" s="76" t="b">
        <v>0</v>
      </c>
      <c r="BD35" s="76" t="b">
        <v>1</v>
      </c>
      <c r="BE35" s="76" t="b">
        <v>0</v>
      </c>
      <c r="BF35" s="76" t="b">
        <v>1</v>
      </c>
      <c r="BG35" s="76" t="b">
        <v>0</v>
      </c>
      <c r="BH35" s="76" t="b">
        <v>0</v>
      </c>
      <c r="BI35" s="82" t="str">
        <f>HYPERLINK("https://pbs.twimg.com/profile_banners/1552351809498320896/1677592707")</f>
        <v>https://pbs.twimg.com/profile_banners/1552351809498320896/1677592707</v>
      </c>
      <c r="BJ35" s="76"/>
      <c r="BK35" s="76" t="s">
        <v>2092</v>
      </c>
      <c r="BL35" s="76" t="b">
        <v>0</v>
      </c>
      <c r="BM35" s="76"/>
      <c r="BN35" s="76" t="s">
        <v>65</v>
      </c>
      <c r="BO35" s="76" t="s">
        <v>2094</v>
      </c>
      <c r="BP35" s="82" t="str">
        <f>HYPERLINK("https://twitter.com/decayingla")</f>
        <v>https://twitter.com/decayingla</v>
      </c>
      <c r="BQ35" s="76" t="str">
        <f>REPLACE(INDEX(GroupVertices[Group],MATCH("~"&amp;Vertices[[#This Row],[Vertex]],GroupVertices[Vertex],0)),1,1,"")</f>
        <v>23</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224</v>
      </c>
      <c r="C36" s="62"/>
      <c r="D36" s="62" t="s">
        <v>64</v>
      </c>
      <c r="E36" s="63">
        <v>70</v>
      </c>
      <c r="F36" s="65"/>
      <c r="G36" s="101" t="str">
        <f>HYPERLINK("https://pbs.twimg.com/profile_images/1614771517572943873/1w3x1ejV_normal.jpg")</f>
        <v>https://pbs.twimg.com/profile_images/1614771517572943873/1w3x1ejV_normal.jpg</v>
      </c>
      <c r="H36" s="62"/>
      <c r="I36" s="66" t="s">
        <v>224</v>
      </c>
      <c r="J36" s="67"/>
      <c r="K36" s="67" t="s">
        <v>75</v>
      </c>
      <c r="L36" s="66" t="s">
        <v>2099</v>
      </c>
      <c r="M36" s="70">
        <v>2000.6</v>
      </c>
      <c r="N36" s="71">
        <v>1577.314697265625</v>
      </c>
      <c r="O36" s="71">
        <v>7680.68359375</v>
      </c>
      <c r="P36" s="72"/>
      <c r="Q36" s="73"/>
      <c r="R36" s="73"/>
      <c r="S36" s="87"/>
      <c r="T36" s="45">
        <v>1</v>
      </c>
      <c r="U36" s="45">
        <v>1</v>
      </c>
      <c r="V36" s="46">
        <v>0</v>
      </c>
      <c r="W36" s="46">
        <v>0</v>
      </c>
      <c r="X36" s="46">
        <v>0</v>
      </c>
      <c r="Y36" s="46">
        <v>0.004673</v>
      </c>
      <c r="Z36" s="46">
        <v>0</v>
      </c>
      <c r="AA36" s="46">
        <v>0</v>
      </c>
      <c r="AB36" s="68">
        <v>8</v>
      </c>
      <c r="AC36" s="68"/>
      <c r="AD36" s="69"/>
      <c r="AE36" s="76" t="s">
        <v>1332</v>
      </c>
      <c r="AF36" s="80" t="s">
        <v>1146</v>
      </c>
      <c r="AG36" s="76">
        <v>482</v>
      </c>
      <c r="AH36" s="76">
        <v>792</v>
      </c>
      <c r="AI36" s="76">
        <v>3504</v>
      </c>
      <c r="AJ36" s="76">
        <v>18</v>
      </c>
      <c r="AK36" s="76">
        <v>5299</v>
      </c>
      <c r="AL36" s="76">
        <v>112</v>
      </c>
      <c r="AM36" s="76" t="b">
        <v>0</v>
      </c>
      <c r="AN36" s="78">
        <v>41394.20532407407</v>
      </c>
      <c r="AO36" s="76" t="s">
        <v>896</v>
      </c>
      <c r="AP36" s="76" t="s">
        <v>1753</v>
      </c>
      <c r="AQ36" s="82" t="str">
        <f>HYPERLINK("https://t.co/VzpN892wPr")</f>
        <v>https://t.co/VzpN892wPr</v>
      </c>
      <c r="AR36" s="82" t="str">
        <f>HYPERLINK("https://stumptownfooty.substack.com/")</f>
        <v>https://stumptownfooty.substack.com/</v>
      </c>
      <c r="AS36" s="76" t="s">
        <v>1956</v>
      </c>
      <c r="AT36" s="76"/>
      <c r="AU36" s="76"/>
      <c r="AV36" s="76"/>
      <c r="AW36" s="76">
        <v>1.64158013440172E+18</v>
      </c>
      <c r="AX36" s="82" t="str">
        <f>HYPERLINK("https://t.co/VzpN892wPr")</f>
        <v>https://t.co/VzpN892wPr</v>
      </c>
      <c r="AY36" s="76" t="b">
        <v>0</v>
      </c>
      <c r="AZ36" s="76"/>
      <c r="BA36" s="76"/>
      <c r="BB36" s="76" t="b">
        <v>1</v>
      </c>
      <c r="BC36" s="76" t="b">
        <v>1</v>
      </c>
      <c r="BD36" s="76" t="b">
        <v>1</v>
      </c>
      <c r="BE36" s="76" t="b">
        <v>0</v>
      </c>
      <c r="BF36" s="76" t="b">
        <v>1</v>
      </c>
      <c r="BG36" s="76" t="b">
        <v>0</v>
      </c>
      <c r="BH36" s="76" t="b">
        <v>0</v>
      </c>
      <c r="BI36" s="82" t="str">
        <f>HYPERLINK("https://pbs.twimg.com/profile_banners/1391199295/1626935636")</f>
        <v>https://pbs.twimg.com/profile_banners/1391199295/1626935636</v>
      </c>
      <c r="BJ36" s="76"/>
      <c r="BK36" s="76" t="s">
        <v>2092</v>
      </c>
      <c r="BL36" s="76" t="b">
        <v>0</v>
      </c>
      <c r="BM36" s="76"/>
      <c r="BN36" s="76" t="s">
        <v>66</v>
      </c>
      <c r="BO36" s="76" t="s">
        <v>2094</v>
      </c>
      <c r="BP36" s="82" t="str">
        <f>HYPERLINK("https://twitter.com/phuocerman")</f>
        <v>https://twitter.com/phuocerman</v>
      </c>
      <c r="BQ36" s="76" t="str">
        <f>REPLACE(INDEX(GroupVertices[Group],MATCH("~"&amp;Vertices[[#This Row],[Vertex]],GroupVertices[Vertex],0)),1,1,"")</f>
        <v>1</v>
      </c>
      <c r="BR36" s="45">
        <v>3</v>
      </c>
      <c r="BS36" s="46">
        <v>6.122448979591836</v>
      </c>
      <c r="BT36" s="45">
        <v>2</v>
      </c>
      <c r="BU36" s="46">
        <v>4.081632653061225</v>
      </c>
      <c r="BV36" s="45">
        <v>0</v>
      </c>
      <c r="BW36" s="46">
        <v>0</v>
      </c>
      <c r="BX36" s="45">
        <v>19</v>
      </c>
      <c r="BY36" s="46">
        <v>38.775510204081634</v>
      </c>
      <c r="BZ36" s="45">
        <v>49</v>
      </c>
      <c r="CA36" s="45"/>
      <c r="CB36" s="45"/>
      <c r="CC36" s="45"/>
      <c r="CD36" s="45"/>
      <c r="CE36" s="45" t="s">
        <v>582</v>
      </c>
      <c r="CF36" s="45" t="s">
        <v>582</v>
      </c>
      <c r="CG36" s="114" t="s">
        <v>11282</v>
      </c>
      <c r="CH36" s="114" t="s">
        <v>11282</v>
      </c>
      <c r="CI36" s="114" t="s">
        <v>11411</v>
      </c>
      <c r="CJ36" s="114" t="s">
        <v>11411</v>
      </c>
      <c r="CK36" s="2"/>
    </row>
    <row r="37" spans="1:89" ht="41.45" customHeight="1">
      <c r="A37" s="61" t="s">
        <v>342</v>
      </c>
      <c r="C37" s="62"/>
      <c r="D37" s="62" t="s">
        <v>64</v>
      </c>
      <c r="E37" s="63">
        <v>70</v>
      </c>
      <c r="F37" s="65"/>
      <c r="G37" s="101" t="str">
        <f>HYPERLINK("https://pbs.twimg.com/profile_images/1747394932417888256/VbG_mBiy_normal.jpg")</f>
        <v>https://pbs.twimg.com/profile_images/1747394932417888256/VbG_mBiy_normal.jpg</v>
      </c>
      <c r="H37" s="62"/>
      <c r="I37" s="66" t="s">
        <v>342</v>
      </c>
      <c r="J37" s="67"/>
      <c r="K37" s="67" t="s">
        <v>75</v>
      </c>
      <c r="L37" s="66" t="s">
        <v>2101</v>
      </c>
      <c r="M37" s="70">
        <v>2000.6</v>
      </c>
      <c r="N37" s="71">
        <v>2268.703369140625</v>
      </c>
      <c r="O37" s="71">
        <v>1192.28125</v>
      </c>
      <c r="P37" s="72"/>
      <c r="Q37" s="73"/>
      <c r="R37" s="73"/>
      <c r="S37" s="87"/>
      <c r="T37" s="45">
        <v>1</v>
      </c>
      <c r="U37" s="45">
        <v>0</v>
      </c>
      <c r="V37" s="46">
        <v>0</v>
      </c>
      <c r="W37" s="46">
        <v>0.013041</v>
      </c>
      <c r="X37" s="46">
        <v>0</v>
      </c>
      <c r="Y37" s="46">
        <v>0.004185</v>
      </c>
      <c r="Z37" s="46">
        <v>0</v>
      </c>
      <c r="AA37" s="46">
        <v>0</v>
      </c>
      <c r="AB37" s="68">
        <v>10</v>
      </c>
      <c r="AC37" s="68"/>
      <c r="AD37" s="69"/>
      <c r="AE37" s="76" t="s">
        <v>1334</v>
      </c>
      <c r="AF37" s="80" t="s">
        <v>1547</v>
      </c>
      <c r="AG37" s="76">
        <v>223404</v>
      </c>
      <c r="AH37" s="76">
        <v>58</v>
      </c>
      <c r="AI37" s="76">
        <v>182</v>
      </c>
      <c r="AJ37" s="76">
        <v>230</v>
      </c>
      <c r="AK37" s="76">
        <v>16</v>
      </c>
      <c r="AL37" s="76">
        <v>177</v>
      </c>
      <c r="AM37" s="76" t="b">
        <v>0</v>
      </c>
      <c r="AN37" s="78">
        <v>44938.06853009259</v>
      </c>
      <c r="AO37" s="76"/>
      <c r="AP37" s="76" t="s">
        <v>1755</v>
      </c>
      <c r="AQ37" s="76"/>
      <c r="AR37" s="76"/>
      <c r="AS37" s="76"/>
      <c r="AT37" s="76"/>
      <c r="AU37" s="76"/>
      <c r="AV37" s="76"/>
      <c r="AW37" s="76">
        <v>1.74757505712614E+18</v>
      </c>
      <c r="AX37" s="76"/>
      <c r="AY37" s="76" t="b">
        <v>1</v>
      </c>
      <c r="AZ37" s="76"/>
      <c r="BA37" s="76"/>
      <c r="BB37" s="76" t="b">
        <v>1</v>
      </c>
      <c r="BC37" s="76" t="b">
        <v>1</v>
      </c>
      <c r="BD37" s="76" t="b">
        <v>1</v>
      </c>
      <c r="BE37" s="76" t="b">
        <v>0</v>
      </c>
      <c r="BF37" s="76" t="b">
        <v>0</v>
      </c>
      <c r="BG37" s="76" t="b">
        <v>0</v>
      </c>
      <c r="BH37" s="76" t="b">
        <v>0</v>
      </c>
      <c r="BI37" s="82" t="str">
        <f>HYPERLINK("https://pbs.twimg.com/profile_banners/1613349662131453952/1705457434")</f>
        <v>https://pbs.twimg.com/profile_banners/1613349662131453952/1705457434</v>
      </c>
      <c r="BJ37" s="76"/>
      <c r="BK37" s="76" t="s">
        <v>2092</v>
      </c>
      <c r="BL37" s="76" t="b">
        <v>0</v>
      </c>
      <c r="BM37" s="76"/>
      <c r="BN37" s="76" t="s">
        <v>65</v>
      </c>
      <c r="BO37" s="76" t="s">
        <v>2094</v>
      </c>
      <c r="BP37" s="82" t="str">
        <f>HYPERLINK("https://twitter.com/bestwildclips")</f>
        <v>https://twitter.com/bestwildclips</v>
      </c>
      <c r="BQ37" s="76" t="str">
        <f>REPLACE(INDEX(GroupVertices[Group],MATCH("~"&amp;Vertices[[#This Row],[Vertex]],GroupVertices[Vertex],0)),1,1,"")</f>
        <v>6</v>
      </c>
      <c r="BR37" s="45"/>
      <c r="BS37" s="46"/>
      <c r="BT37" s="45"/>
      <c r="BU37" s="46"/>
      <c r="BV37" s="45"/>
      <c r="BW37" s="46"/>
      <c r="BX37" s="45"/>
      <c r="BY37" s="46"/>
      <c r="BZ37" s="45"/>
      <c r="CA37" s="45"/>
      <c r="CB37" s="45"/>
      <c r="CC37" s="45"/>
      <c r="CD37" s="45"/>
      <c r="CE37" s="45"/>
      <c r="CF37" s="45"/>
      <c r="CG37" s="45"/>
      <c r="CH37" s="45"/>
      <c r="CI37" s="45"/>
      <c r="CJ37" s="45"/>
      <c r="CK37" s="2"/>
    </row>
    <row r="38" spans="1:89" ht="41.45" customHeight="1">
      <c r="A38" s="61" t="s">
        <v>343</v>
      </c>
      <c r="C38" s="62"/>
      <c r="D38" s="62" t="s">
        <v>64</v>
      </c>
      <c r="E38" s="63">
        <v>70</v>
      </c>
      <c r="F38" s="65"/>
      <c r="G38" s="101" t="str">
        <f>HYPERLINK("https://pbs.twimg.com/profile_images/1626215221349208066/vpOEZWC4_normal.jpg")</f>
        <v>https://pbs.twimg.com/profile_images/1626215221349208066/vpOEZWC4_normal.jpg</v>
      </c>
      <c r="H38" s="62"/>
      <c r="I38" s="66" t="s">
        <v>343</v>
      </c>
      <c r="J38" s="67"/>
      <c r="K38" s="67" t="s">
        <v>75</v>
      </c>
      <c r="L38" s="66" t="s">
        <v>2102</v>
      </c>
      <c r="M38" s="70">
        <v>2000.6</v>
      </c>
      <c r="N38" s="71">
        <v>2671.70947265625</v>
      </c>
      <c r="O38" s="71">
        <v>2388.8740234375</v>
      </c>
      <c r="P38" s="72"/>
      <c r="Q38" s="73"/>
      <c r="R38" s="73"/>
      <c r="S38" s="87"/>
      <c r="T38" s="45">
        <v>1</v>
      </c>
      <c r="U38" s="45">
        <v>0</v>
      </c>
      <c r="V38" s="46">
        <v>0</v>
      </c>
      <c r="W38" s="46">
        <v>0.013041</v>
      </c>
      <c r="X38" s="46">
        <v>0</v>
      </c>
      <c r="Y38" s="46">
        <v>0.004185</v>
      </c>
      <c r="Z38" s="46">
        <v>0</v>
      </c>
      <c r="AA38" s="46">
        <v>0</v>
      </c>
      <c r="AB38" s="68">
        <v>11</v>
      </c>
      <c r="AC38" s="68"/>
      <c r="AD38" s="69"/>
      <c r="AE38" s="76" t="s">
        <v>1335</v>
      </c>
      <c r="AF38" s="80" t="s">
        <v>1548</v>
      </c>
      <c r="AG38" s="76">
        <v>32009</v>
      </c>
      <c r="AH38" s="76">
        <v>312</v>
      </c>
      <c r="AI38" s="76">
        <v>14598</v>
      </c>
      <c r="AJ38" s="76">
        <v>272</v>
      </c>
      <c r="AK38" s="76">
        <v>51397</v>
      </c>
      <c r="AL38" s="76">
        <v>9004</v>
      </c>
      <c r="AM38" s="76" t="b">
        <v>0</v>
      </c>
      <c r="AN38" s="78">
        <v>44881.845497685186</v>
      </c>
      <c r="AO38" s="76" t="s">
        <v>1653</v>
      </c>
      <c r="AP38" s="76" t="s">
        <v>1756</v>
      </c>
      <c r="AQ38" s="76"/>
      <c r="AR38" s="76"/>
      <c r="AS38" s="76"/>
      <c r="AT38" s="76"/>
      <c r="AU38" s="76"/>
      <c r="AV38" s="76"/>
      <c r="AW38" s="76">
        <v>1.75194179471824E+18</v>
      </c>
      <c r="AX38" s="76"/>
      <c r="AY38" s="76" t="b">
        <v>1</v>
      </c>
      <c r="AZ38" s="76"/>
      <c r="BA38" s="76"/>
      <c r="BB38" s="76" t="b">
        <v>0</v>
      </c>
      <c r="BC38" s="76" t="b">
        <v>1</v>
      </c>
      <c r="BD38" s="76" t="b">
        <v>1</v>
      </c>
      <c r="BE38" s="76" t="b">
        <v>0</v>
      </c>
      <c r="BF38" s="76" t="b">
        <v>1</v>
      </c>
      <c r="BG38" s="76" t="b">
        <v>0</v>
      </c>
      <c r="BH38" s="76" t="b">
        <v>0</v>
      </c>
      <c r="BI38" s="82" t="str">
        <f>HYPERLINK("https://pbs.twimg.com/profile_banners/1592975103645581315/1705434789")</f>
        <v>https://pbs.twimg.com/profile_banners/1592975103645581315/1705434789</v>
      </c>
      <c r="BJ38" s="76"/>
      <c r="BK38" s="76" t="s">
        <v>2092</v>
      </c>
      <c r="BL38" s="76" t="b">
        <v>0</v>
      </c>
      <c r="BM38" s="76"/>
      <c r="BN38" s="76" t="s">
        <v>65</v>
      </c>
      <c r="BO38" s="76" t="s">
        <v>2094</v>
      </c>
      <c r="BP38" s="82" t="str">
        <f>HYPERLINK("https://twitter.com/captcoronado")</f>
        <v>https://twitter.com/captcoronado</v>
      </c>
      <c r="BQ38" s="76" t="str">
        <f>REPLACE(INDEX(GroupVertices[Group],MATCH("~"&amp;Vertices[[#This Row],[Vertex]],GroupVertices[Vertex],0)),1,1,"")</f>
        <v>6</v>
      </c>
      <c r="BR38" s="45"/>
      <c r="BS38" s="46"/>
      <c r="BT38" s="45"/>
      <c r="BU38" s="46"/>
      <c r="BV38" s="45"/>
      <c r="BW38" s="46"/>
      <c r="BX38" s="45"/>
      <c r="BY38" s="46"/>
      <c r="BZ38" s="45"/>
      <c r="CA38" s="45"/>
      <c r="CB38" s="45"/>
      <c r="CC38" s="45"/>
      <c r="CD38" s="45"/>
      <c r="CE38" s="45"/>
      <c r="CF38" s="45"/>
      <c r="CG38" s="45"/>
      <c r="CH38" s="45"/>
      <c r="CI38" s="45"/>
      <c r="CJ38" s="45"/>
      <c r="CK38" s="2"/>
    </row>
    <row r="39" spans="1:89" ht="41.45" customHeight="1">
      <c r="A39" s="61" t="s">
        <v>344</v>
      </c>
      <c r="C39" s="62"/>
      <c r="D39" s="62" t="s">
        <v>64</v>
      </c>
      <c r="E39" s="63">
        <v>70</v>
      </c>
      <c r="F39" s="65"/>
      <c r="G39" s="101" t="str">
        <f>HYPERLINK("https://pbs.twimg.com/profile_images/1699969485841514496/KScG5H-E_normal.jpg")</f>
        <v>https://pbs.twimg.com/profile_images/1699969485841514496/KScG5H-E_normal.jpg</v>
      </c>
      <c r="H39" s="62"/>
      <c r="I39" s="66" t="s">
        <v>344</v>
      </c>
      <c r="J39" s="67"/>
      <c r="K39" s="67" t="s">
        <v>75</v>
      </c>
      <c r="L39" s="66" t="s">
        <v>2103</v>
      </c>
      <c r="M39" s="70">
        <v>2000.6</v>
      </c>
      <c r="N39" s="71">
        <v>3361.127685546875</v>
      </c>
      <c r="O39" s="71">
        <v>1986.461181640625</v>
      </c>
      <c r="P39" s="72"/>
      <c r="Q39" s="73"/>
      <c r="R39" s="73"/>
      <c r="S39" s="87"/>
      <c r="T39" s="45">
        <v>1</v>
      </c>
      <c r="U39" s="45">
        <v>0</v>
      </c>
      <c r="V39" s="46">
        <v>0</v>
      </c>
      <c r="W39" s="46">
        <v>0.013041</v>
      </c>
      <c r="X39" s="46">
        <v>0</v>
      </c>
      <c r="Y39" s="46">
        <v>0.004185</v>
      </c>
      <c r="Z39" s="46">
        <v>0</v>
      </c>
      <c r="AA39" s="46">
        <v>0</v>
      </c>
      <c r="AB39" s="68">
        <v>12</v>
      </c>
      <c r="AC39" s="68"/>
      <c r="AD39" s="69"/>
      <c r="AE39" s="76" t="s">
        <v>1336</v>
      </c>
      <c r="AF39" s="80" t="s">
        <v>1549</v>
      </c>
      <c r="AG39" s="76">
        <v>144</v>
      </c>
      <c r="AH39" s="76">
        <v>419</v>
      </c>
      <c r="AI39" s="76">
        <v>6001</v>
      </c>
      <c r="AJ39" s="76">
        <v>1</v>
      </c>
      <c r="AK39" s="76">
        <v>9472</v>
      </c>
      <c r="AL39" s="76">
        <v>614</v>
      </c>
      <c r="AM39" s="76" t="b">
        <v>0</v>
      </c>
      <c r="AN39" s="78">
        <v>41729.959016203706</v>
      </c>
      <c r="AO39" s="76"/>
      <c r="AP39" s="76" t="s">
        <v>1757</v>
      </c>
      <c r="AQ39" s="76"/>
      <c r="AR39" s="76"/>
      <c r="AS39" s="76"/>
      <c r="AT39" s="76"/>
      <c r="AU39" s="76"/>
      <c r="AV39" s="76"/>
      <c r="AW39" s="76"/>
      <c r="AX39" s="76"/>
      <c r="AY39" s="76" t="b">
        <v>1</v>
      </c>
      <c r="AZ39" s="76"/>
      <c r="BA39" s="76"/>
      <c r="BB39" s="76" t="b">
        <v>0</v>
      </c>
      <c r="BC39" s="76" t="b">
        <v>0</v>
      </c>
      <c r="BD39" s="76" t="b">
        <v>1</v>
      </c>
      <c r="BE39" s="76" t="b">
        <v>0</v>
      </c>
      <c r="BF39" s="76" t="b">
        <v>1</v>
      </c>
      <c r="BG39" s="76" t="b">
        <v>0</v>
      </c>
      <c r="BH39" s="76" t="b">
        <v>0</v>
      </c>
      <c r="BI39" s="82" t="str">
        <f>HYPERLINK("https://pbs.twimg.com/profile_banners/2421176029/1706236577")</f>
        <v>https://pbs.twimg.com/profile_banners/2421176029/1706236577</v>
      </c>
      <c r="BJ39" s="76"/>
      <c r="BK39" s="76" t="s">
        <v>2092</v>
      </c>
      <c r="BL39" s="76" t="b">
        <v>0</v>
      </c>
      <c r="BM39" s="76"/>
      <c r="BN39" s="76" t="s">
        <v>65</v>
      </c>
      <c r="BO39" s="76" t="s">
        <v>2094</v>
      </c>
      <c r="BP39" s="82" t="str">
        <f>HYPERLINK("https://twitter.com/aa_ronneous")</f>
        <v>https://twitter.com/aa_ronneous</v>
      </c>
      <c r="BQ39" s="76" t="str">
        <f>REPLACE(INDEX(GroupVertices[Group],MATCH("~"&amp;Vertices[[#This Row],[Vertex]],GroupVertices[Vertex],0)),1,1,"")</f>
        <v>6</v>
      </c>
      <c r="BR39" s="45"/>
      <c r="BS39" s="46"/>
      <c r="BT39" s="45"/>
      <c r="BU39" s="46"/>
      <c r="BV39" s="45"/>
      <c r="BW39" s="46"/>
      <c r="BX39" s="45"/>
      <c r="BY39" s="46"/>
      <c r="BZ39" s="45"/>
      <c r="CA39" s="45"/>
      <c r="CB39" s="45"/>
      <c r="CC39" s="45"/>
      <c r="CD39" s="45"/>
      <c r="CE39" s="45"/>
      <c r="CF39" s="45"/>
      <c r="CG39" s="45"/>
      <c r="CH39" s="45"/>
      <c r="CI39" s="45"/>
      <c r="CJ39" s="45"/>
      <c r="CK39" s="2"/>
    </row>
    <row r="40" spans="1:89" ht="41.45" customHeight="1">
      <c r="A40" s="61" t="s">
        <v>345</v>
      </c>
      <c r="C40" s="62"/>
      <c r="D40" s="62" t="s">
        <v>64</v>
      </c>
      <c r="E40" s="63">
        <v>70</v>
      </c>
      <c r="F40" s="65"/>
      <c r="G40" s="101" t="str">
        <f>HYPERLINK("https://pbs.twimg.com/profile_images/1730743170877587456/HdE32eI8_normal.jpg")</f>
        <v>https://pbs.twimg.com/profile_images/1730743170877587456/HdE32eI8_normal.jpg</v>
      </c>
      <c r="H40" s="62"/>
      <c r="I40" s="66" t="s">
        <v>345</v>
      </c>
      <c r="J40" s="67"/>
      <c r="K40" s="67" t="s">
        <v>75</v>
      </c>
      <c r="L40" s="66" t="s">
        <v>2104</v>
      </c>
      <c r="M40" s="70">
        <v>2000.6</v>
      </c>
      <c r="N40" s="71">
        <v>2709.064453125</v>
      </c>
      <c r="O40" s="71">
        <v>50.39818572998047</v>
      </c>
      <c r="P40" s="72"/>
      <c r="Q40" s="73"/>
      <c r="R40" s="73"/>
      <c r="S40" s="87"/>
      <c r="T40" s="45">
        <v>1</v>
      </c>
      <c r="U40" s="45">
        <v>0</v>
      </c>
      <c r="V40" s="46">
        <v>0</v>
      </c>
      <c r="W40" s="46">
        <v>0.013041</v>
      </c>
      <c r="X40" s="46">
        <v>0</v>
      </c>
      <c r="Y40" s="46">
        <v>0.004185</v>
      </c>
      <c r="Z40" s="46">
        <v>0</v>
      </c>
      <c r="AA40" s="46">
        <v>0</v>
      </c>
      <c r="AB40" s="68">
        <v>13</v>
      </c>
      <c r="AC40" s="68"/>
      <c r="AD40" s="69"/>
      <c r="AE40" s="76" t="s">
        <v>1337</v>
      </c>
      <c r="AF40" s="80" t="s">
        <v>1550</v>
      </c>
      <c r="AG40" s="76">
        <v>151</v>
      </c>
      <c r="AH40" s="76">
        <v>266</v>
      </c>
      <c r="AI40" s="76">
        <v>47144</v>
      </c>
      <c r="AJ40" s="76">
        <v>2</v>
      </c>
      <c r="AK40" s="76">
        <v>35104</v>
      </c>
      <c r="AL40" s="76">
        <v>1917</v>
      </c>
      <c r="AM40" s="76" t="b">
        <v>0</v>
      </c>
      <c r="AN40" s="78">
        <v>42953.410046296296</v>
      </c>
      <c r="AO40" s="76"/>
      <c r="AP40" s="76" t="s">
        <v>1758</v>
      </c>
      <c r="AQ40" s="76"/>
      <c r="AR40" s="76"/>
      <c r="AS40" s="76"/>
      <c r="AT40" s="76"/>
      <c r="AU40" s="76"/>
      <c r="AV40" s="76"/>
      <c r="AW40" s="76">
        <v>1.62322544093967E+18</v>
      </c>
      <c r="AX40" s="76"/>
      <c r="AY40" s="76" t="b">
        <v>0</v>
      </c>
      <c r="AZ40" s="76"/>
      <c r="BA40" s="76"/>
      <c r="BB40" s="76" t="b">
        <v>0</v>
      </c>
      <c r="BC40" s="76" t="b">
        <v>0</v>
      </c>
      <c r="BD40" s="76" t="b">
        <v>1</v>
      </c>
      <c r="BE40" s="76" t="b">
        <v>0</v>
      </c>
      <c r="BF40" s="76" t="b">
        <v>1</v>
      </c>
      <c r="BG40" s="76" t="b">
        <v>0</v>
      </c>
      <c r="BH40" s="76" t="b">
        <v>0</v>
      </c>
      <c r="BI40" s="82" t="str">
        <f>HYPERLINK("https://pbs.twimg.com/profile_banners/894133565318975489/1647974513")</f>
        <v>https://pbs.twimg.com/profile_banners/894133565318975489/1647974513</v>
      </c>
      <c r="BJ40" s="76"/>
      <c r="BK40" s="76" t="s">
        <v>2092</v>
      </c>
      <c r="BL40" s="76" t="b">
        <v>0</v>
      </c>
      <c r="BM40" s="76"/>
      <c r="BN40" s="76" t="s">
        <v>65</v>
      </c>
      <c r="BO40" s="76" t="s">
        <v>2094</v>
      </c>
      <c r="BP40" s="82" t="str">
        <f>HYPERLINK("https://twitter.com/okron8")</f>
        <v>https://twitter.com/okron8</v>
      </c>
      <c r="BQ40" s="76" t="str">
        <f>REPLACE(INDEX(GroupVertices[Group],MATCH("~"&amp;Vertices[[#This Row],[Vertex]],GroupVertices[Vertex],0)),1,1,"")</f>
        <v>6</v>
      </c>
      <c r="BR40" s="45"/>
      <c r="BS40" s="46"/>
      <c r="BT40" s="45"/>
      <c r="BU40" s="46"/>
      <c r="BV40" s="45"/>
      <c r="BW40" s="46"/>
      <c r="BX40" s="45"/>
      <c r="BY40" s="46"/>
      <c r="BZ40" s="45"/>
      <c r="CA40" s="45"/>
      <c r="CB40" s="45"/>
      <c r="CC40" s="45"/>
      <c r="CD40" s="45"/>
      <c r="CE40" s="45"/>
      <c r="CF40" s="45"/>
      <c r="CG40" s="45"/>
      <c r="CH40" s="45"/>
      <c r="CI40" s="45"/>
      <c r="CJ40" s="45"/>
      <c r="CK40" s="2"/>
    </row>
    <row r="41" spans="1:89" ht="41.45" customHeight="1">
      <c r="A41" s="61" t="s">
        <v>346</v>
      </c>
      <c r="C41" s="62"/>
      <c r="D41" s="62" t="s">
        <v>64</v>
      </c>
      <c r="E41" s="63">
        <v>70</v>
      </c>
      <c r="F41" s="65"/>
      <c r="G41" s="101" t="str">
        <f>HYPERLINK("https://pbs.twimg.com/profile_images/1207048219/twitprof_normal.JPG")</f>
        <v>https://pbs.twimg.com/profile_images/1207048219/twitprof_normal.JPG</v>
      </c>
      <c r="H41" s="62"/>
      <c r="I41" s="66" t="s">
        <v>346</v>
      </c>
      <c r="J41" s="67"/>
      <c r="K41" s="67" t="s">
        <v>75</v>
      </c>
      <c r="L41" s="66" t="s">
        <v>2105</v>
      </c>
      <c r="M41" s="70">
        <v>2000.6</v>
      </c>
      <c r="N41" s="71">
        <v>3384.194091796875</v>
      </c>
      <c r="O41" s="71">
        <v>541.1868286132812</v>
      </c>
      <c r="P41" s="72"/>
      <c r="Q41" s="73"/>
      <c r="R41" s="73"/>
      <c r="S41" s="87"/>
      <c r="T41" s="45">
        <v>1</v>
      </c>
      <c r="U41" s="45">
        <v>0</v>
      </c>
      <c r="V41" s="46">
        <v>0</v>
      </c>
      <c r="W41" s="46">
        <v>0.013041</v>
      </c>
      <c r="X41" s="46">
        <v>0</v>
      </c>
      <c r="Y41" s="46">
        <v>0.004185</v>
      </c>
      <c r="Z41" s="46">
        <v>0</v>
      </c>
      <c r="AA41" s="46">
        <v>0</v>
      </c>
      <c r="AB41" s="68">
        <v>14</v>
      </c>
      <c r="AC41" s="68"/>
      <c r="AD41" s="69"/>
      <c r="AE41" s="76" t="s">
        <v>1338</v>
      </c>
      <c r="AF41" s="80" t="s">
        <v>1147</v>
      </c>
      <c r="AG41" s="76">
        <v>1507</v>
      </c>
      <c r="AH41" s="76">
        <v>3866</v>
      </c>
      <c r="AI41" s="76">
        <v>38978</v>
      </c>
      <c r="AJ41" s="76">
        <v>33</v>
      </c>
      <c r="AK41" s="76">
        <v>39802</v>
      </c>
      <c r="AL41" s="76">
        <v>777</v>
      </c>
      <c r="AM41" s="76" t="b">
        <v>0</v>
      </c>
      <c r="AN41" s="78">
        <v>40063.141018518516</v>
      </c>
      <c r="AO41" s="76" t="s">
        <v>1654</v>
      </c>
      <c r="AP41" s="76" t="s">
        <v>1759</v>
      </c>
      <c r="AQ41" s="82" t="str">
        <f>HYPERLINK("https://t.co/GbJO2I9WSy")</f>
        <v>https://t.co/GbJO2I9WSy</v>
      </c>
      <c r="AR41" s="82" t="str">
        <f>HYPERLINK("http://www.razorsedgeperformance.ca")</f>
        <v>http://www.razorsedgeperformance.ca</v>
      </c>
      <c r="AS41" s="76" t="s">
        <v>1957</v>
      </c>
      <c r="AT41" s="82" t="str">
        <f>HYPERLINK("https://t.co/Z2WwirL3h9")</f>
        <v>https://t.co/Z2WwirL3h9</v>
      </c>
      <c r="AU41" s="82" t="str">
        <f>HYPERLINK("http://Razorsedgeperformance.ca")</f>
        <v>http://Razorsedgeperformance.ca</v>
      </c>
      <c r="AV41" s="76" t="s">
        <v>2066</v>
      </c>
      <c r="AW41" s="76"/>
      <c r="AX41" s="82" t="str">
        <f>HYPERLINK("https://t.co/GbJO2I9WSy")</f>
        <v>https://t.co/GbJO2I9WSy</v>
      </c>
      <c r="AY41" s="76" t="b">
        <v>0</v>
      </c>
      <c r="AZ41" s="76"/>
      <c r="BA41" s="76"/>
      <c r="BB41" s="76" t="b">
        <v>1</v>
      </c>
      <c r="BC41" s="76" t="b">
        <v>1</v>
      </c>
      <c r="BD41" s="76" t="b">
        <v>0</v>
      </c>
      <c r="BE41" s="76" t="b">
        <v>0</v>
      </c>
      <c r="BF41" s="76" t="b">
        <v>1</v>
      </c>
      <c r="BG41" s="76" t="b">
        <v>0</v>
      </c>
      <c r="BH41" s="76" t="b">
        <v>0</v>
      </c>
      <c r="BI41" s="76"/>
      <c r="BJ41" s="76"/>
      <c r="BK41" s="76" t="s">
        <v>2092</v>
      </c>
      <c r="BL41" s="76" t="b">
        <v>0</v>
      </c>
      <c r="BM41" s="76"/>
      <c r="BN41" s="76" t="s">
        <v>65</v>
      </c>
      <c r="BO41" s="76" t="s">
        <v>2094</v>
      </c>
      <c r="BP41" s="82" t="str">
        <f>HYPERLINK("https://twitter.com/kennedyk24")</f>
        <v>https://twitter.com/kennedyk24</v>
      </c>
      <c r="BQ41" s="76" t="str">
        <f>REPLACE(INDEX(GroupVertices[Group],MATCH("~"&amp;Vertices[[#This Row],[Vertex]],GroupVertices[Vertex],0)),1,1,"")</f>
        <v>6</v>
      </c>
      <c r="BR41" s="45"/>
      <c r="BS41" s="46"/>
      <c r="BT41" s="45"/>
      <c r="BU41" s="46"/>
      <c r="BV41" s="45"/>
      <c r="BW41" s="46"/>
      <c r="BX41" s="45"/>
      <c r="BY41" s="46"/>
      <c r="BZ41" s="45"/>
      <c r="CA41" s="45"/>
      <c r="CB41" s="45"/>
      <c r="CC41" s="45"/>
      <c r="CD41" s="45"/>
      <c r="CE41" s="45"/>
      <c r="CF41" s="45"/>
      <c r="CG41" s="45"/>
      <c r="CH41" s="45"/>
      <c r="CI41" s="45"/>
      <c r="CJ41" s="45"/>
      <c r="CK41" s="2"/>
    </row>
    <row r="42" spans="1:89" ht="41.45" customHeight="1">
      <c r="A42" s="61" t="s">
        <v>226</v>
      </c>
      <c r="C42" s="62"/>
      <c r="D42" s="62" t="s">
        <v>64</v>
      </c>
      <c r="E42" s="63">
        <v>70</v>
      </c>
      <c r="F42" s="65"/>
      <c r="G42" s="101" t="str">
        <f>HYPERLINK("https://pbs.twimg.com/profile_images/1692720763089170432/Vvzvw93K_normal.jpg")</f>
        <v>https://pbs.twimg.com/profile_images/1692720763089170432/Vvzvw93K_normal.jpg</v>
      </c>
      <c r="H42" s="62"/>
      <c r="I42" s="66" t="s">
        <v>226</v>
      </c>
      <c r="J42" s="67"/>
      <c r="K42" s="67" t="s">
        <v>75</v>
      </c>
      <c r="L42" s="66" t="s">
        <v>2106</v>
      </c>
      <c r="M42" s="70">
        <v>1</v>
      </c>
      <c r="N42" s="71">
        <v>1930.29296875</v>
      </c>
      <c r="O42" s="71">
        <v>2640.864990234375</v>
      </c>
      <c r="P42" s="72"/>
      <c r="Q42" s="73"/>
      <c r="R42" s="73"/>
      <c r="S42" s="87"/>
      <c r="T42" s="45">
        <v>0</v>
      </c>
      <c r="U42" s="45">
        <v>1</v>
      </c>
      <c r="V42" s="46">
        <v>0</v>
      </c>
      <c r="W42" s="46">
        <v>0.013797</v>
      </c>
      <c r="X42" s="46">
        <v>0</v>
      </c>
      <c r="Y42" s="46">
        <v>0.004333</v>
      </c>
      <c r="Z42" s="46">
        <v>0</v>
      </c>
      <c r="AA42" s="46">
        <v>0</v>
      </c>
      <c r="AB42" s="68">
        <v>15</v>
      </c>
      <c r="AC42" s="68"/>
      <c r="AD42" s="69"/>
      <c r="AE42" s="76" t="s">
        <v>1339</v>
      </c>
      <c r="AF42" s="80" t="s">
        <v>1551</v>
      </c>
      <c r="AG42" s="76">
        <v>4725</v>
      </c>
      <c r="AH42" s="76">
        <v>165</v>
      </c>
      <c r="AI42" s="76">
        <v>858</v>
      </c>
      <c r="AJ42" s="76">
        <v>44</v>
      </c>
      <c r="AK42" s="76">
        <v>23042</v>
      </c>
      <c r="AL42" s="76">
        <v>38</v>
      </c>
      <c r="AM42" s="76" t="b">
        <v>0</v>
      </c>
      <c r="AN42" s="78">
        <v>39779.44689814815</v>
      </c>
      <c r="AO42" s="76" t="s">
        <v>855</v>
      </c>
      <c r="AP42" s="76" t="s">
        <v>1760</v>
      </c>
      <c r="AQ42" s="82" t="str">
        <f>HYPERLINK("https://t.co/eUrd7arrXY")</f>
        <v>https://t.co/eUrd7arrXY</v>
      </c>
      <c r="AR42" s="82" t="str">
        <f>HYPERLINK("http://www.facebook.com/cmpaugh")</f>
        <v>http://www.facebook.com/cmpaugh</v>
      </c>
      <c r="AS42" s="76" t="s">
        <v>1958</v>
      </c>
      <c r="AT42" s="76"/>
      <c r="AU42" s="76"/>
      <c r="AV42" s="76"/>
      <c r="AW42" s="76"/>
      <c r="AX42" s="82" t="str">
        <f>HYPERLINK("https://t.co/eUrd7arrXY")</f>
        <v>https://t.co/eUrd7arrXY</v>
      </c>
      <c r="AY42" s="76" t="b">
        <v>0</v>
      </c>
      <c r="AZ42" s="76"/>
      <c r="BA42" s="76"/>
      <c r="BB42" s="76" t="b">
        <v>0</v>
      </c>
      <c r="BC42" s="76" t="b">
        <v>0</v>
      </c>
      <c r="BD42" s="76" t="b">
        <v>0</v>
      </c>
      <c r="BE42" s="76" t="b">
        <v>0</v>
      </c>
      <c r="BF42" s="76" t="b">
        <v>0</v>
      </c>
      <c r="BG42" s="76" t="b">
        <v>0</v>
      </c>
      <c r="BH42" s="76" t="b">
        <v>0</v>
      </c>
      <c r="BI42" s="82" t="str">
        <f>HYPERLINK("https://pbs.twimg.com/profile_banners/17674946/1698695595")</f>
        <v>https://pbs.twimg.com/profile_banners/17674946/1698695595</v>
      </c>
      <c r="BJ42" s="76"/>
      <c r="BK42" s="76" t="s">
        <v>2092</v>
      </c>
      <c r="BL42" s="76" t="b">
        <v>0</v>
      </c>
      <c r="BM42" s="76"/>
      <c r="BN42" s="76" t="s">
        <v>66</v>
      </c>
      <c r="BO42" s="76" t="s">
        <v>2094</v>
      </c>
      <c r="BP42" s="82" t="str">
        <f>HYPERLINK("https://twitter.com/cmpaugh")</f>
        <v>https://twitter.com/cmpaugh</v>
      </c>
      <c r="BQ42" s="76" t="str">
        <f>REPLACE(INDEX(GroupVertices[Group],MATCH("~"&amp;Vertices[[#This Row],[Vertex]],GroupVertices[Vertex],0)),1,1,"")</f>
        <v>2</v>
      </c>
      <c r="BR42" s="45">
        <v>1</v>
      </c>
      <c r="BS42" s="46">
        <v>4.166666666666667</v>
      </c>
      <c r="BT42" s="45">
        <v>2</v>
      </c>
      <c r="BU42" s="46">
        <v>8.333333333333334</v>
      </c>
      <c r="BV42" s="45">
        <v>0</v>
      </c>
      <c r="BW42" s="46">
        <v>0</v>
      </c>
      <c r="BX42" s="45">
        <v>11</v>
      </c>
      <c r="BY42" s="46">
        <v>45.833333333333336</v>
      </c>
      <c r="BZ42" s="45">
        <v>24</v>
      </c>
      <c r="CA42" s="45"/>
      <c r="CB42" s="45"/>
      <c r="CC42" s="45"/>
      <c r="CD42" s="45"/>
      <c r="CE42" s="45"/>
      <c r="CF42" s="45"/>
      <c r="CG42" s="114" t="s">
        <v>11284</v>
      </c>
      <c r="CH42" s="114" t="s">
        <v>11284</v>
      </c>
      <c r="CI42" s="114" t="s">
        <v>11413</v>
      </c>
      <c r="CJ42" s="114" t="s">
        <v>11413</v>
      </c>
      <c r="CK42" s="2"/>
    </row>
    <row r="43" spans="1:89" ht="41.45" customHeight="1">
      <c r="A43" s="61" t="s">
        <v>347</v>
      </c>
      <c r="C43" s="62"/>
      <c r="D43" s="62" t="s">
        <v>64</v>
      </c>
      <c r="E43" s="63">
        <v>70</v>
      </c>
      <c r="F43" s="65"/>
      <c r="G43" s="101" t="str">
        <f>HYPERLINK("https://pbs.twimg.com/profile_images/1577762653904199681/WKcpSrnf_normal.jpg")</f>
        <v>https://pbs.twimg.com/profile_images/1577762653904199681/WKcpSrnf_normal.jpg</v>
      </c>
      <c r="H43" s="62"/>
      <c r="I43" s="66" t="s">
        <v>347</v>
      </c>
      <c r="J43" s="67"/>
      <c r="K43" s="67" t="s">
        <v>75</v>
      </c>
      <c r="L43" s="66" t="s">
        <v>2109</v>
      </c>
      <c r="M43" s="70">
        <v>2000.6</v>
      </c>
      <c r="N43" s="71">
        <v>5060.79833984375</v>
      </c>
      <c r="O43" s="71">
        <v>2914.275146484375</v>
      </c>
      <c r="P43" s="72"/>
      <c r="Q43" s="73"/>
      <c r="R43" s="73"/>
      <c r="S43" s="87"/>
      <c r="T43" s="45">
        <v>1</v>
      </c>
      <c r="U43" s="45">
        <v>0</v>
      </c>
      <c r="V43" s="46">
        <v>0</v>
      </c>
      <c r="W43" s="46">
        <v>0.00626</v>
      </c>
      <c r="X43" s="46">
        <v>0</v>
      </c>
      <c r="Y43" s="46">
        <v>0.004368</v>
      </c>
      <c r="Z43" s="46">
        <v>0</v>
      </c>
      <c r="AA43" s="46">
        <v>0</v>
      </c>
      <c r="AB43" s="68">
        <v>18</v>
      </c>
      <c r="AC43" s="68"/>
      <c r="AD43" s="69"/>
      <c r="AE43" s="76" t="s">
        <v>1342</v>
      </c>
      <c r="AF43" s="80" t="s">
        <v>1552</v>
      </c>
      <c r="AG43" s="76">
        <v>660614</v>
      </c>
      <c r="AH43" s="76">
        <v>240</v>
      </c>
      <c r="AI43" s="76">
        <v>2527</v>
      </c>
      <c r="AJ43" s="76">
        <v>1557</v>
      </c>
      <c r="AK43" s="76">
        <v>1083</v>
      </c>
      <c r="AL43" s="76">
        <v>1368</v>
      </c>
      <c r="AM43" s="76" t="b">
        <v>0</v>
      </c>
      <c r="AN43" s="78">
        <v>44839.864016203705</v>
      </c>
      <c r="AO43" s="76" t="s">
        <v>1655</v>
      </c>
      <c r="AP43" s="76" t="s">
        <v>1763</v>
      </c>
      <c r="AQ43" s="82" t="str">
        <f>HYPERLINK("https://t.co/OUnnYnKs0m")</f>
        <v>https://t.co/OUnnYnKs0m</v>
      </c>
      <c r="AR43" s="82" t="str">
        <f>HYPERLINK("https://diedsuddenly.info")</f>
        <v>https://diedsuddenly.info</v>
      </c>
      <c r="AS43" s="76" t="s">
        <v>1960</v>
      </c>
      <c r="AT43" s="76"/>
      <c r="AU43" s="76"/>
      <c r="AV43" s="76"/>
      <c r="AW43" s="76">
        <v>1.6846171607803E+18</v>
      </c>
      <c r="AX43" s="82" t="str">
        <f>HYPERLINK("https://t.co/OUnnYnKs0m")</f>
        <v>https://t.co/OUnnYnKs0m</v>
      </c>
      <c r="AY43" s="76" t="b">
        <v>1</v>
      </c>
      <c r="AZ43" s="76"/>
      <c r="BA43" s="76"/>
      <c r="BB43" s="76" t="b">
        <v>1</v>
      </c>
      <c r="BC43" s="76" t="b">
        <v>1</v>
      </c>
      <c r="BD43" s="76" t="b">
        <v>1</v>
      </c>
      <c r="BE43" s="76" t="b">
        <v>0</v>
      </c>
      <c r="BF43" s="76" t="b">
        <v>1</v>
      </c>
      <c r="BG43" s="76" t="b">
        <v>0</v>
      </c>
      <c r="BH43" s="76" t="b">
        <v>0</v>
      </c>
      <c r="BI43" s="82" t="str">
        <f>HYPERLINK("https://pbs.twimg.com/profile_banners/1577761560394665984/1673316078")</f>
        <v>https://pbs.twimg.com/profile_banners/1577761560394665984/1673316078</v>
      </c>
      <c r="BJ43" s="76"/>
      <c r="BK43" s="76" t="s">
        <v>2092</v>
      </c>
      <c r="BL43" s="76" t="b">
        <v>0</v>
      </c>
      <c r="BM43" s="76"/>
      <c r="BN43" s="76" t="s">
        <v>65</v>
      </c>
      <c r="BO43" s="76" t="s">
        <v>2094</v>
      </c>
      <c r="BP43" s="82" t="str">
        <f>HYPERLINK("https://twitter.com/diedsuddenly_")</f>
        <v>https://twitter.com/diedsuddenly_</v>
      </c>
      <c r="BQ43" s="76" t="str">
        <f>REPLACE(INDEX(GroupVertices[Group],MATCH("~"&amp;Vertices[[#This Row],[Vertex]],GroupVertices[Vertex],0)),1,1,"")</f>
        <v>22</v>
      </c>
      <c r="BR43" s="45"/>
      <c r="BS43" s="46"/>
      <c r="BT43" s="45"/>
      <c r="BU43" s="46"/>
      <c r="BV43" s="45"/>
      <c r="BW43" s="46"/>
      <c r="BX43" s="45"/>
      <c r="BY43" s="46"/>
      <c r="BZ43" s="45"/>
      <c r="CA43" s="45"/>
      <c r="CB43" s="45"/>
      <c r="CC43" s="45"/>
      <c r="CD43" s="45"/>
      <c r="CE43" s="45"/>
      <c r="CF43" s="45"/>
      <c r="CG43" s="45"/>
      <c r="CH43" s="45"/>
      <c r="CI43" s="45"/>
      <c r="CJ43" s="45"/>
      <c r="CK43" s="2"/>
    </row>
    <row r="44" spans="1:89" ht="41.45" customHeight="1">
      <c r="A44" s="61" t="s">
        <v>348</v>
      </c>
      <c r="C44" s="62"/>
      <c r="D44" s="62" t="s">
        <v>64</v>
      </c>
      <c r="E44" s="63">
        <v>70</v>
      </c>
      <c r="F44" s="65"/>
      <c r="G44" s="101" t="str">
        <f>HYPERLINK("https://pbs.twimg.com/profile_images/1742568081531064320/nrxMkPcH_normal.jpg")</f>
        <v>https://pbs.twimg.com/profile_images/1742568081531064320/nrxMkPcH_normal.jpg</v>
      </c>
      <c r="H44" s="62"/>
      <c r="I44" s="66" t="s">
        <v>348</v>
      </c>
      <c r="J44" s="67"/>
      <c r="K44" s="67" t="s">
        <v>75</v>
      </c>
      <c r="L44" s="66" t="s">
        <v>2110</v>
      </c>
      <c r="M44" s="70">
        <v>2000.6</v>
      </c>
      <c r="N44" s="71">
        <v>4663.37109375</v>
      </c>
      <c r="O44" s="71">
        <v>2110.424072265625</v>
      </c>
      <c r="P44" s="72"/>
      <c r="Q44" s="73"/>
      <c r="R44" s="73"/>
      <c r="S44" s="87"/>
      <c r="T44" s="45">
        <v>1</v>
      </c>
      <c r="U44" s="45">
        <v>0</v>
      </c>
      <c r="V44" s="46">
        <v>0</v>
      </c>
      <c r="W44" s="46">
        <v>0.00626</v>
      </c>
      <c r="X44" s="46">
        <v>0</v>
      </c>
      <c r="Y44" s="46">
        <v>0.004368</v>
      </c>
      <c r="Z44" s="46">
        <v>0</v>
      </c>
      <c r="AA44" s="46">
        <v>0</v>
      </c>
      <c r="AB44" s="68">
        <v>19</v>
      </c>
      <c r="AC44" s="68"/>
      <c r="AD44" s="69"/>
      <c r="AE44" s="76" t="s">
        <v>1343</v>
      </c>
      <c r="AF44" s="80" t="s">
        <v>1149</v>
      </c>
      <c r="AG44" s="76">
        <v>112</v>
      </c>
      <c r="AH44" s="76">
        <v>212</v>
      </c>
      <c r="AI44" s="76">
        <v>1339</v>
      </c>
      <c r="AJ44" s="76">
        <v>0</v>
      </c>
      <c r="AK44" s="76">
        <v>2099</v>
      </c>
      <c r="AL44" s="76">
        <v>20</v>
      </c>
      <c r="AM44" s="76" t="b">
        <v>0</v>
      </c>
      <c r="AN44" s="78">
        <v>45262.833449074074</v>
      </c>
      <c r="AO44" s="76"/>
      <c r="AP44" s="76" t="s">
        <v>1764</v>
      </c>
      <c r="AQ44" s="76"/>
      <c r="AR44" s="76"/>
      <c r="AS44" s="76"/>
      <c r="AT44" s="82" t="str">
        <f>HYPERLINK("https://t.co/UVUwbNtvi6")</f>
        <v>https://t.co/UVUwbNtvi6</v>
      </c>
      <c r="AU44" s="82" t="str">
        <f>HYPERLINK("https://t.me/SquidGrowPortalEntry")</f>
        <v>https://t.me/SquidGrowPortalEntry</v>
      </c>
      <c r="AV44" s="76" t="s">
        <v>2067</v>
      </c>
      <c r="AW44" s="76"/>
      <c r="AX44" s="76"/>
      <c r="AY44" s="76" t="b">
        <v>0</v>
      </c>
      <c r="AZ44" s="76"/>
      <c r="BA44" s="76"/>
      <c r="BB44" s="76" t="b">
        <v>0</v>
      </c>
      <c r="BC44" s="76" t="b">
        <v>1</v>
      </c>
      <c r="BD44" s="76" t="b">
        <v>1</v>
      </c>
      <c r="BE44" s="76" t="b">
        <v>0</v>
      </c>
      <c r="BF44" s="76" t="b">
        <v>0</v>
      </c>
      <c r="BG44" s="76" t="b">
        <v>0</v>
      </c>
      <c r="BH44" s="76" t="b">
        <v>0</v>
      </c>
      <c r="BI44" s="82" t="str">
        <f>HYPERLINK("https://pbs.twimg.com/profile_banners/1731040528722960384/1701547567")</f>
        <v>https://pbs.twimg.com/profile_banners/1731040528722960384/1701547567</v>
      </c>
      <c r="BJ44" s="76"/>
      <c r="BK44" s="76" t="s">
        <v>2092</v>
      </c>
      <c r="BL44" s="76" t="b">
        <v>0</v>
      </c>
      <c r="BM44" s="76"/>
      <c r="BN44" s="76" t="s">
        <v>65</v>
      </c>
      <c r="BO44" s="76" t="s">
        <v>2094</v>
      </c>
      <c r="BP44" s="82" t="str">
        <f>HYPERLINK("https://twitter.com/barry317446")</f>
        <v>https://twitter.com/barry317446</v>
      </c>
      <c r="BQ44" s="76" t="str">
        <f>REPLACE(INDEX(GroupVertices[Group],MATCH("~"&amp;Vertices[[#This Row],[Vertex]],GroupVertices[Vertex],0)),1,1,"")</f>
        <v>22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228</v>
      </c>
      <c r="C45" s="62"/>
      <c r="D45" s="62" t="s">
        <v>64</v>
      </c>
      <c r="E45" s="63">
        <v>70</v>
      </c>
      <c r="F45" s="65"/>
      <c r="G45" s="101" t="str">
        <f>HYPERLINK("https://pbs.twimg.com/profile_images/839986484648194048/DVzAdvFW_normal.jpg")</f>
        <v>https://pbs.twimg.com/profile_images/839986484648194048/DVzAdvFW_normal.jpg</v>
      </c>
      <c r="H45" s="62"/>
      <c r="I45" s="66" t="s">
        <v>228</v>
      </c>
      <c r="J45" s="67"/>
      <c r="K45" s="67" t="s">
        <v>75</v>
      </c>
      <c r="L45" s="66" t="s">
        <v>2111</v>
      </c>
      <c r="M45" s="70">
        <v>1</v>
      </c>
      <c r="N45" s="71">
        <v>6327.85009765625</v>
      </c>
      <c r="O45" s="71">
        <v>2407.773193359375</v>
      </c>
      <c r="P45" s="72"/>
      <c r="Q45" s="73"/>
      <c r="R45" s="73"/>
      <c r="S45" s="87"/>
      <c r="T45" s="45">
        <v>0</v>
      </c>
      <c r="U45" s="45">
        <v>1</v>
      </c>
      <c r="V45" s="46">
        <v>0</v>
      </c>
      <c r="W45" s="46">
        <v>0.004695</v>
      </c>
      <c r="X45" s="46">
        <v>0</v>
      </c>
      <c r="Y45" s="46">
        <v>0.004673</v>
      </c>
      <c r="Z45" s="46">
        <v>0</v>
      </c>
      <c r="AA45" s="46">
        <v>0</v>
      </c>
      <c r="AB45" s="68">
        <v>20</v>
      </c>
      <c r="AC45" s="68"/>
      <c r="AD45" s="69"/>
      <c r="AE45" s="76" t="s">
        <v>1344</v>
      </c>
      <c r="AF45" s="80" t="s">
        <v>1553</v>
      </c>
      <c r="AG45" s="76">
        <v>93477</v>
      </c>
      <c r="AH45" s="76">
        <v>1574</v>
      </c>
      <c r="AI45" s="76">
        <v>34435</v>
      </c>
      <c r="AJ45" s="76">
        <v>90</v>
      </c>
      <c r="AK45" s="76">
        <v>28115</v>
      </c>
      <c r="AL45" s="76">
        <v>2067</v>
      </c>
      <c r="AM45" s="76" t="b">
        <v>0</v>
      </c>
      <c r="AN45" s="78">
        <v>41884.76862268519</v>
      </c>
      <c r="AO45" s="76" t="s">
        <v>852</v>
      </c>
      <c r="AP45" s="76" t="s">
        <v>1765</v>
      </c>
      <c r="AQ45" s="76"/>
      <c r="AR45" s="76"/>
      <c r="AS45" s="76"/>
      <c r="AT45" s="76"/>
      <c r="AU45" s="76"/>
      <c r="AV45" s="76"/>
      <c r="AW45" s="76">
        <v>8.9026484688898E+17</v>
      </c>
      <c r="AX45" s="76"/>
      <c r="AY45" s="76" t="b">
        <v>0</v>
      </c>
      <c r="AZ45" s="76"/>
      <c r="BA45" s="76"/>
      <c r="BB45" s="76" t="b">
        <v>0</v>
      </c>
      <c r="BC45" s="76" t="b">
        <v>1</v>
      </c>
      <c r="BD45" s="76" t="b">
        <v>0</v>
      </c>
      <c r="BE45" s="76" t="b">
        <v>0</v>
      </c>
      <c r="BF45" s="76" t="b">
        <v>0</v>
      </c>
      <c r="BG45" s="76" t="b">
        <v>0</v>
      </c>
      <c r="BH45" s="76" t="b">
        <v>0</v>
      </c>
      <c r="BI45" s="82" t="str">
        <f>HYPERLINK("https://pbs.twimg.com/profile_banners/2786420790/1446218821")</f>
        <v>https://pbs.twimg.com/profile_banners/2786420790/1446218821</v>
      </c>
      <c r="BJ45" s="76"/>
      <c r="BK45" s="76" t="s">
        <v>2092</v>
      </c>
      <c r="BL45" s="76" t="b">
        <v>0</v>
      </c>
      <c r="BM45" s="76"/>
      <c r="BN45" s="76" t="s">
        <v>66</v>
      </c>
      <c r="BO45" s="76" t="s">
        <v>2094</v>
      </c>
      <c r="BP45" s="82" t="str">
        <f>HYPERLINK("https://twitter.com/missbeccabenz")</f>
        <v>https://twitter.com/missbeccabenz</v>
      </c>
      <c r="BQ45" s="76" t="str">
        <f>REPLACE(INDEX(GroupVertices[Group],MATCH("~"&amp;Vertices[[#This Row],[Vertex]],GroupVertices[Vertex],0)),1,1,"")</f>
        <v>63</v>
      </c>
      <c r="BR45" s="45">
        <v>0</v>
      </c>
      <c r="BS45" s="46">
        <v>0</v>
      </c>
      <c r="BT45" s="45">
        <v>4</v>
      </c>
      <c r="BU45" s="46">
        <v>7.8431372549019605</v>
      </c>
      <c r="BV45" s="45">
        <v>0</v>
      </c>
      <c r="BW45" s="46">
        <v>0</v>
      </c>
      <c r="BX45" s="45">
        <v>22</v>
      </c>
      <c r="BY45" s="46">
        <v>43.13725490196079</v>
      </c>
      <c r="BZ45" s="45">
        <v>51</v>
      </c>
      <c r="CA45" s="45"/>
      <c r="CB45" s="45"/>
      <c r="CC45" s="45"/>
      <c r="CD45" s="45"/>
      <c r="CE45" s="45"/>
      <c r="CF45" s="45"/>
      <c r="CG45" s="114" t="s">
        <v>11287</v>
      </c>
      <c r="CH45" s="114" t="s">
        <v>11287</v>
      </c>
      <c r="CI45" s="114" t="s">
        <v>11416</v>
      </c>
      <c r="CJ45" s="114" t="s">
        <v>11416</v>
      </c>
      <c r="CK45" s="2"/>
    </row>
    <row r="46" spans="1:89" ht="41.45" customHeight="1">
      <c r="A46" s="61" t="s">
        <v>349</v>
      </c>
      <c r="C46" s="62"/>
      <c r="D46" s="62" t="s">
        <v>64</v>
      </c>
      <c r="E46" s="63">
        <v>70</v>
      </c>
      <c r="F46" s="65"/>
      <c r="G46" s="101" t="str">
        <f>HYPERLINK("https://pbs.twimg.com/profile_images/1708492399515725824/BV1G-U39_normal.jpg")</f>
        <v>https://pbs.twimg.com/profile_images/1708492399515725824/BV1G-U39_normal.jpg</v>
      </c>
      <c r="H46" s="62"/>
      <c r="I46" s="66" t="s">
        <v>349</v>
      </c>
      <c r="J46" s="67"/>
      <c r="K46" s="67" t="s">
        <v>75</v>
      </c>
      <c r="L46" s="66" t="s">
        <v>2112</v>
      </c>
      <c r="M46" s="70">
        <v>2000.6</v>
      </c>
      <c r="N46" s="71">
        <v>6327.85009765625</v>
      </c>
      <c r="O46" s="71">
        <v>1750.0770263671875</v>
      </c>
      <c r="P46" s="72"/>
      <c r="Q46" s="73"/>
      <c r="R46" s="73"/>
      <c r="S46" s="87"/>
      <c r="T46" s="45">
        <v>1</v>
      </c>
      <c r="U46" s="45">
        <v>0</v>
      </c>
      <c r="V46" s="46">
        <v>0</v>
      </c>
      <c r="W46" s="46">
        <v>0.004695</v>
      </c>
      <c r="X46" s="46">
        <v>0</v>
      </c>
      <c r="Y46" s="46">
        <v>0.004673</v>
      </c>
      <c r="Z46" s="46">
        <v>0</v>
      </c>
      <c r="AA46" s="46">
        <v>0</v>
      </c>
      <c r="AB46" s="68">
        <v>21</v>
      </c>
      <c r="AC46" s="68"/>
      <c r="AD46" s="69"/>
      <c r="AE46" s="76" t="s">
        <v>1345</v>
      </c>
      <c r="AF46" s="80" t="s">
        <v>1150</v>
      </c>
      <c r="AG46" s="76">
        <v>11919</v>
      </c>
      <c r="AH46" s="76">
        <v>9737</v>
      </c>
      <c r="AI46" s="76">
        <v>8879</v>
      </c>
      <c r="AJ46" s="76">
        <v>127</v>
      </c>
      <c r="AK46" s="76">
        <v>6631</v>
      </c>
      <c r="AL46" s="76">
        <v>3498</v>
      </c>
      <c r="AM46" s="76" t="b">
        <v>0</v>
      </c>
      <c r="AN46" s="78">
        <v>40497.87189814815</v>
      </c>
      <c r="AO46" s="76" t="s">
        <v>1656</v>
      </c>
      <c r="AP46" s="76" t="s">
        <v>1766</v>
      </c>
      <c r="AQ46" s="82" t="str">
        <f>HYPERLINK("https://t.co/gf7Gs0gYwS")</f>
        <v>https://t.co/gf7Gs0gYwS</v>
      </c>
      <c r="AR46" s="82" t="str">
        <f>HYPERLINK("http://NLBalive.com")</f>
        <v>http://NLBalive.com</v>
      </c>
      <c r="AS46" s="76" t="s">
        <v>1961</v>
      </c>
      <c r="AT46" s="82" t="str">
        <f>HYPERLINK("https://t.co/OA2Q9Q5ENC")</f>
        <v>https://t.co/OA2Q9Q5ENC</v>
      </c>
      <c r="AU46" s="82" t="str">
        <f>HYPERLINK("http://vimeo.com/286077719")</f>
        <v>http://vimeo.com/286077719</v>
      </c>
      <c r="AV46" s="76" t="s">
        <v>2068</v>
      </c>
      <c r="AW46" s="76"/>
      <c r="AX46" s="82" t="str">
        <f>HYPERLINK("https://t.co/gf7Gs0gYwS")</f>
        <v>https://t.co/gf7Gs0gYwS</v>
      </c>
      <c r="AY46" s="76" t="b">
        <v>0</v>
      </c>
      <c r="AZ46" s="76"/>
      <c r="BA46" s="76"/>
      <c r="BB46" s="76" t="b">
        <v>0</v>
      </c>
      <c r="BC46" s="76" t="b">
        <v>1</v>
      </c>
      <c r="BD46" s="76" t="b">
        <v>0</v>
      </c>
      <c r="BE46" s="76" t="b">
        <v>0</v>
      </c>
      <c r="BF46" s="76" t="b">
        <v>1</v>
      </c>
      <c r="BG46" s="76" t="b">
        <v>0</v>
      </c>
      <c r="BH46" s="76" t="b">
        <v>0</v>
      </c>
      <c r="BI46" s="82" t="str">
        <f>HYPERLINK("https://pbs.twimg.com/profile_banners/216116121/1696334577")</f>
        <v>https://pbs.twimg.com/profile_banners/216116121/1696334577</v>
      </c>
      <c r="BJ46" s="76"/>
      <c r="BK46" s="76" t="s">
        <v>2092</v>
      </c>
      <c r="BL46" s="76" t="b">
        <v>0</v>
      </c>
      <c r="BM46" s="76"/>
      <c r="BN46" s="76" t="s">
        <v>65</v>
      </c>
      <c r="BO46" s="76" t="s">
        <v>2094</v>
      </c>
      <c r="BP46" s="82" t="str">
        <f>HYPERLINK("https://twitter.com/negroleagueman")</f>
        <v>https://twitter.com/negroleagueman</v>
      </c>
      <c r="BQ46" s="76" t="str">
        <f>REPLACE(INDEX(GroupVertices[Group],MATCH("~"&amp;Vertices[[#This Row],[Vertex]],GroupVertices[Vertex],0)),1,1,"")</f>
        <v>63</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229</v>
      </c>
      <c r="C47" s="62"/>
      <c r="D47" s="62" t="s">
        <v>64</v>
      </c>
      <c r="E47" s="63">
        <v>70</v>
      </c>
      <c r="F47" s="65"/>
      <c r="G47" s="101" t="str">
        <f>HYPERLINK("https://pbs.twimg.com/profile_images/1028322881057382400/YNyPYg4b_normal.jpg")</f>
        <v>https://pbs.twimg.com/profile_images/1028322881057382400/YNyPYg4b_normal.jpg</v>
      </c>
      <c r="H47" s="62"/>
      <c r="I47" s="66" t="s">
        <v>229</v>
      </c>
      <c r="J47" s="67"/>
      <c r="K47" s="67" t="s">
        <v>75</v>
      </c>
      <c r="L47" s="66" t="s">
        <v>2113</v>
      </c>
      <c r="M47" s="70">
        <v>2000.6</v>
      </c>
      <c r="N47" s="71">
        <v>2020.277587890625</v>
      </c>
      <c r="O47" s="71">
        <v>5866.3486328125</v>
      </c>
      <c r="P47" s="72"/>
      <c r="Q47" s="73"/>
      <c r="R47" s="73"/>
      <c r="S47" s="87"/>
      <c r="T47" s="45">
        <v>1</v>
      </c>
      <c r="U47" s="45">
        <v>1</v>
      </c>
      <c r="V47" s="46">
        <v>0</v>
      </c>
      <c r="W47" s="46">
        <v>0</v>
      </c>
      <c r="X47" s="46">
        <v>0</v>
      </c>
      <c r="Y47" s="46">
        <v>0.004673</v>
      </c>
      <c r="Z47" s="46">
        <v>0</v>
      </c>
      <c r="AA47" s="46">
        <v>0</v>
      </c>
      <c r="AB47" s="68">
        <v>22</v>
      </c>
      <c r="AC47" s="68"/>
      <c r="AD47" s="69"/>
      <c r="AE47" s="76" t="s">
        <v>1346</v>
      </c>
      <c r="AF47" s="80" t="s">
        <v>1554</v>
      </c>
      <c r="AG47" s="76">
        <v>313</v>
      </c>
      <c r="AH47" s="76">
        <v>3400</v>
      </c>
      <c r="AI47" s="76">
        <v>3976</v>
      </c>
      <c r="AJ47" s="76">
        <v>0</v>
      </c>
      <c r="AK47" s="76">
        <v>3417</v>
      </c>
      <c r="AL47" s="76">
        <v>120</v>
      </c>
      <c r="AM47" s="76" t="b">
        <v>0</v>
      </c>
      <c r="AN47" s="78">
        <v>41109.664618055554</v>
      </c>
      <c r="AO47" s="76" t="s">
        <v>852</v>
      </c>
      <c r="AP47" s="76" t="s">
        <v>1767</v>
      </c>
      <c r="AQ47" s="82" t="str">
        <f>HYPERLINK("https://t.co/asMhoqc0af")</f>
        <v>https://t.co/asMhoqc0af</v>
      </c>
      <c r="AR47" s="82" t="str">
        <f>HYPERLINK("https://www.facebook.com/ProgressiveGlobe")</f>
        <v>https://www.facebook.com/ProgressiveGlobe</v>
      </c>
      <c r="AS47" s="76" t="s">
        <v>1962</v>
      </c>
      <c r="AT47" s="82" t="str">
        <f>HYPERLINK("https://t.co/t6pxxcmBQZ")</f>
        <v>https://t.co/t6pxxcmBQZ</v>
      </c>
      <c r="AU47" s="82" t="str">
        <f>HYPERLINK("http://progressive-globe.tumblr.com")</f>
        <v>http://progressive-globe.tumblr.com</v>
      </c>
      <c r="AV47" s="76" t="s">
        <v>2069</v>
      </c>
      <c r="AW47" s="76">
        <v>1.49700447070998E+18</v>
      </c>
      <c r="AX47" s="82" t="str">
        <f>HYPERLINK("https://t.co/asMhoqc0af")</f>
        <v>https://t.co/asMhoqc0af</v>
      </c>
      <c r="AY47" s="76" t="b">
        <v>1</v>
      </c>
      <c r="AZ47" s="76"/>
      <c r="BA47" s="76"/>
      <c r="BB47" s="76" t="b">
        <v>0</v>
      </c>
      <c r="BC47" s="76" t="b">
        <v>1</v>
      </c>
      <c r="BD47" s="76" t="b">
        <v>0</v>
      </c>
      <c r="BE47" s="76" t="b">
        <v>0</v>
      </c>
      <c r="BF47" s="76" t="b">
        <v>1</v>
      </c>
      <c r="BG47" s="76" t="b">
        <v>0</v>
      </c>
      <c r="BH47" s="76" t="b">
        <v>0</v>
      </c>
      <c r="BI47" s="82" t="str">
        <f>HYPERLINK("https://pbs.twimg.com/profile_banners/705314388/1608064110")</f>
        <v>https://pbs.twimg.com/profile_banners/705314388/1608064110</v>
      </c>
      <c r="BJ47" s="76"/>
      <c r="BK47" s="76" t="s">
        <v>2092</v>
      </c>
      <c r="BL47" s="76" t="b">
        <v>0</v>
      </c>
      <c r="BM47" s="76"/>
      <c r="BN47" s="76" t="s">
        <v>66</v>
      </c>
      <c r="BO47" s="76" t="s">
        <v>2094</v>
      </c>
      <c r="BP47" s="82" t="str">
        <f>HYPERLINK("https://twitter.com/progressglobe")</f>
        <v>https://twitter.com/progressglobe</v>
      </c>
      <c r="BQ47" s="76" t="str">
        <f>REPLACE(INDEX(GroupVertices[Group],MATCH("~"&amp;Vertices[[#This Row],[Vertex]],GroupVertices[Vertex],0)),1,1,"")</f>
        <v>1</v>
      </c>
      <c r="BR47" s="45">
        <v>0</v>
      </c>
      <c r="BS47" s="46">
        <v>0</v>
      </c>
      <c r="BT47" s="45">
        <v>7</v>
      </c>
      <c r="BU47" s="46">
        <v>25</v>
      </c>
      <c r="BV47" s="45">
        <v>0</v>
      </c>
      <c r="BW47" s="46">
        <v>0</v>
      </c>
      <c r="BX47" s="45">
        <v>14</v>
      </c>
      <c r="BY47" s="46">
        <v>50</v>
      </c>
      <c r="BZ47" s="45">
        <v>28</v>
      </c>
      <c r="CA47" s="45" t="s">
        <v>11260</v>
      </c>
      <c r="CB47" s="45" t="s">
        <v>11264</v>
      </c>
      <c r="CC47" s="45" t="s">
        <v>11268</v>
      </c>
      <c r="CD47" s="45" t="s">
        <v>11268</v>
      </c>
      <c r="CE47" s="45"/>
      <c r="CF47" s="45"/>
      <c r="CG47" s="114" t="s">
        <v>11288</v>
      </c>
      <c r="CH47" s="114" t="s">
        <v>11398</v>
      </c>
      <c r="CI47" s="114" t="s">
        <v>11417</v>
      </c>
      <c r="CJ47" s="114" t="s">
        <v>11527</v>
      </c>
      <c r="CK47" s="2"/>
    </row>
    <row r="48" spans="1:89" ht="41.45" customHeight="1">
      <c r="A48" s="61" t="s">
        <v>230</v>
      </c>
      <c r="C48" s="62"/>
      <c r="D48" s="62" t="s">
        <v>64</v>
      </c>
      <c r="E48" s="63">
        <v>70</v>
      </c>
      <c r="F48" s="65"/>
      <c r="G48" s="101" t="str">
        <f>HYPERLINK("https://pbs.twimg.com/profile_images/1446504810732085251/PYMrQ9Hh_normal.jpg")</f>
        <v>https://pbs.twimg.com/profile_images/1446504810732085251/PYMrQ9Hh_normal.jpg</v>
      </c>
      <c r="H48" s="62"/>
      <c r="I48" s="66" t="s">
        <v>230</v>
      </c>
      <c r="J48" s="67"/>
      <c r="K48" s="67" t="s">
        <v>75</v>
      </c>
      <c r="L48" s="66" t="s">
        <v>2114</v>
      </c>
      <c r="M48" s="70">
        <v>1</v>
      </c>
      <c r="N48" s="71">
        <v>7833.35791015625</v>
      </c>
      <c r="O48" s="71">
        <v>9526.517578125</v>
      </c>
      <c r="P48" s="72"/>
      <c r="Q48" s="73"/>
      <c r="R48" s="73"/>
      <c r="S48" s="87"/>
      <c r="T48" s="45">
        <v>0</v>
      </c>
      <c r="U48" s="45">
        <v>1</v>
      </c>
      <c r="V48" s="46">
        <v>0</v>
      </c>
      <c r="W48" s="46">
        <v>0.00626</v>
      </c>
      <c r="X48" s="46">
        <v>0</v>
      </c>
      <c r="Y48" s="46">
        <v>0.004248</v>
      </c>
      <c r="Z48" s="46">
        <v>0</v>
      </c>
      <c r="AA48" s="46">
        <v>0</v>
      </c>
      <c r="AB48" s="68">
        <v>23</v>
      </c>
      <c r="AC48" s="68"/>
      <c r="AD48" s="69"/>
      <c r="AE48" s="76" t="s">
        <v>1347</v>
      </c>
      <c r="AF48" s="80" t="s">
        <v>1238</v>
      </c>
      <c r="AG48" s="76">
        <v>2398</v>
      </c>
      <c r="AH48" s="76">
        <v>1562</v>
      </c>
      <c r="AI48" s="76">
        <v>20461</v>
      </c>
      <c r="AJ48" s="76">
        <v>15</v>
      </c>
      <c r="AK48" s="76">
        <v>38819</v>
      </c>
      <c r="AL48" s="76">
        <v>960</v>
      </c>
      <c r="AM48" s="76" t="b">
        <v>0</v>
      </c>
      <c r="AN48" s="78">
        <v>43389.990902777776</v>
      </c>
      <c r="AO48" s="76" t="s">
        <v>852</v>
      </c>
      <c r="AP48" s="76" t="s">
        <v>1768</v>
      </c>
      <c r="AQ48" s="76"/>
      <c r="AR48" s="76"/>
      <c r="AS48" s="76"/>
      <c r="AT48" s="76"/>
      <c r="AU48" s="76"/>
      <c r="AV48" s="76"/>
      <c r="AW48" s="76">
        <v>1.59007012192164E+18</v>
      </c>
      <c r="AX48" s="76"/>
      <c r="AY48" s="76" t="b">
        <v>1</v>
      </c>
      <c r="AZ48" s="76"/>
      <c r="BA48" s="76"/>
      <c r="BB48" s="76" t="b">
        <v>1</v>
      </c>
      <c r="BC48" s="76" t="b">
        <v>0</v>
      </c>
      <c r="BD48" s="76" t="b">
        <v>1</v>
      </c>
      <c r="BE48" s="76" t="b">
        <v>0</v>
      </c>
      <c r="BF48" s="76" t="b">
        <v>1</v>
      </c>
      <c r="BG48" s="76" t="b">
        <v>0</v>
      </c>
      <c r="BH48" s="76" t="b">
        <v>0</v>
      </c>
      <c r="BI48" s="82" t="str">
        <f>HYPERLINK("https://pbs.twimg.com/profile_banners/1052345167011696640/1655566590")</f>
        <v>https://pbs.twimg.com/profile_banners/1052345167011696640/1655566590</v>
      </c>
      <c r="BJ48" s="76"/>
      <c r="BK48" s="76" t="s">
        <v>2092</v>
      </c>
      <c r="BL48" s="76" t="b">
        <v>0</v>
      </c>
      <c r="BM48" s="76"/>
      <c r="BN48" s="76" t="s">
        <v>66</v>
      </c>
      <c r="BO48" s="76" t="s">
        <v>2094</v>
      </c>
      <c r="BP48" s="82" t="str">
        <f>HYPERLINK("https://twitter.com/2a_allday")</f>
        <v>https://twitter.com/2a_allday</v>
      </c>
      <c r="BQ48" s="76" t="str">
        <f>REPLACE(INDEX(GroupVertices[Group],MATCH("~"&amp;Vertices[[#This Row],[Vertex]],GroupVertices[Vertex],0)),1,1,"")</f>
        <v>11</v>
      </c>
      <c r="BR48" s="45">
        <v>1</v>
      </c>
      <c r="BS48" s="46">
        <v>3.4482758620689653</v>
      </c>
      <c r="BT48" s="45">
        <v>4</v>
      </c>
      <c r="BU48" s="46">
        <v>13.793103448275861</v>
      </c>
      <c r="BV48" s="45">
        <v>0</v>
      </c>
      <c r="BW48" s="46">
        <v>0</v>
      </c>
      <c r="BX48" s="45">
        <v>11</v>
      </c>
      <c r="BY48" s="46">
        <v>37.93103448275862</v>
      </c>
      <c r="BZ48" s="45">
        <v>29</v>
      </c>
      <c r="CA48" s="45"/>
      <c r="CB48" s="45"/>
      <c r="CC48" s="45"/>
      <c r="CD48" s="45"/>
      <c r="CE48" s="45"/>
      <c r="CF48" s="45"/>
      <c r="CG48" s="114" t="s">
        <v>11289</v>
      </c>
      <c r="CH48" s="114" t="s">
        <v>11289</v>
      </c>
      <c r="CI48" s="114" t="s">
        <v>11418</v>
      </c>
      <c r="CJ48" s="114" t="s">
        <v>11418</v>
      </c>
      <c r="CK48" s="2"/>
    </row>
    <row r="49" spans="1:89" ht="41.45" customHeight="1">
      <c r="A49" s="61" t="s">
        <v>231</v>
      </c>
      <c r="C49" s="62"/>
      <c r="D49" s="62" t="s">
        <v>64</v>
      </c>
      <c r="E49" s="63">
        <v>70</v>
      </c>
      <c r="F49" s="65"/>
      <c r="G49" s="101" t="str">
        <f>HYPERLINK("https://pbs.twimg.com/profile_images/1714742659913588736/8rZ2oluS_normal.jpg")</f>
        <v>https://pbs.twimg.com/profile_images/1714742659913588736/8rZ2oluS_normal.jpg</v>
      </c>
      <c r="H49" s="62"/>
      <c r="I49" s="66" t="s">
        <v>231</v>
      </c>
      <c r="J49" s="67"/>
      <c r="K49" s="67" t="s">
        <v>75</v>
      </c>
      <c r="L49" s="66" t="s">
        <v>2116</v>
      </c>
      <c r="M49" s="70">
        <v>2000.6</v>
      </c>
      <c r="N49" s="71">
        <v>1577.314697265625</v>
      </c>
      <c r="O49" s="71">
        <v>5866.3486328125</v>
      </c>
      <c r="P49" s="72"/>
      <c r="Q49" s="73"/>
      <c r="R49" s="73"/>
      <c r="S49" s="87"/>
      <c r="T49" s="45">
        <v>1</v>
      </c>
      <c r="U49" s="45">
        <v>1</v>
      </c>
      <c r="V49" s="46">
        <v>0</v>
      </c>
      <c r="W49" s="46">
        <v>0</v>
      </c>
      <c r="X49" s="46">
        <v>0</v>
      </c>
      <c r="Y49" s="46">
        <v>0.004673</v>
      </c>
      <c r="Z49" s="46">
        <v>0</v>
      </c>
      <c r="AA49" s="46">
        <v>0</v>
      </c>
      <c r="AB49" s="68">
        <v>25</v>
      </c>
      <c r="AC49" s="68"/>
      <c r="AD49" s="69"/>
      <c r="AE49" s="76" t="s">
        <v>1349</v>
      </c>
      <c r="AF49" s="80" t="s">
        <v>1239</v>
      </c>
      <c r="AG49" s="76">
        <v>394</v>
      </c>
      <c r="AH49" s="76">
        <v>744</v>
      </c>
      <c r="AI49" s="76">
        <v>224</v>
      </c>
      <c r="AJ49" s="76">
        <v>0</v>
      </c>
      <c r="AK49" s="76">
        <v>564</v>
      </c>
      <c r="AL49" s="76">
        <v>69</v>
      </c>
      <c r="AM49" s="76" t="b">
        <v>0</v>
      </c>
      <c r="AN49" s="78">
        <v>44677.76170138889</v>
      </c>
      <c r="AO49" s="76" t="s">
        <v>853</v>
      </c>
      <c r="AP49" s="76" t="s">
        <v>1770</v>
      </c>
      <c r="AQ49" s="82" t="str">
        <f>HYPERLINK("https://t.co/WhNf8hGnMu")</f>
        <v>https://t.co/WhNf8hGnMu</v>
      </c>
      <c r="AR49" s="82" t="str">
        <f>HYPERLINK("https://linktr.ee/larssonrealtor")</f>
        <v>https://linktr.ee/larssonrealtor</v>
      </c>
      <c r="AS49" s="76" t="s">
        <v>1964</v>
      </c>
      <c r="AT49" s="76"/>
      <c r="AU49" s="76"/>
      <c r="AV49" s="76"/>
      <c r="AW49" s="76"/>
      <c r="AX49" s="82" t="str">
        <f>HYPERLINK("https://t.co/WhNf8hGnMu")</f>
        <v>https://t.co/WhNf8hGnMu</v>
      </c>
      <c r="AY49" s="76" t="b">
        <v>0</v>
      </c>
      <c r="AZ49" s="76"/>
      <c r="BA49" s="76"/>
      <c r="BB49" s="76" t="b">
        <v>1</v>
      </c>
      <c r="BC49" s="76" t="b">
        <v>1</v>
      </c>
      <c r="BD49" s="76" t="b">
        <v>1</v>
      </c>
      <c r="BE49" s="76" t="b">
        <v>0</v>
      </c>
      <c r="BF49" s="76" t="b">
        <v>0</v>
      </c>
      <c r="BG49" s="76" t="b">
        <v>0</v>
      </c>
      <c r="BH49" s="76" t="b">
        <v>0</v>
      </c>
      <c r="BI49" s="82" t="str">
        <f>HYPERLINK("https://pbs.twimg.com/profile_banners/1519017633793814528/1699020562")</f>
        <v>https://pbs.twimg.com/profile_banners/1519017633793814528/1699020562</v>
      </c>
      <c r="BJ49" s="76"/>
      <c r="BK49" s="76" t="s">
        <v>2092</v>
      </c>
      <c r="BL49" s="76" t="b">
        <v>0</v>
      </c>
      <c r="BM49" s="76"/>
      <c r="BN49" s="76" t="s">
        <v>66</v>
      </c>
      <c r="BO49" s="76" t="s">
        <v>2094</v>
      </c>
      <c r="BP49" s="82" t="str">
        <f>HYPERLINK("https://twitter.com/larssonrealtor")</f>
        <v>https://twitter.com/larssonrealtor</v>
      </c>
      <c r="BQ49" s="76" t="str">
        <f>REPLACE(INDEX(GroupVertices[Group],MATCH("~"&amp;Vertices[[#This Row],[Vertex]],GroupVertices[Vertex],0)),1,1,"")</f>
        <v>1</v>
      </c>
      <c r="BR49" s="45">
        <v>4</v>
      </c>
      <c r="BS49" s="46">
        <v>9.090909090909092</v>
      </c>
      <c r="BT49" s="45">
        <v>1</v>
      </c>
      <c r="BU49" s="46">
        <v>2.272727272727273</v>
      </c>
      <c r="BV49" s="45">
        <v>0</v>
      </c>
      <c r="BW49" s="46">
        <v>0</v>
      </c>
      <c r="BX49" s="45">
        <v>23</v>
      </c>
      <c r="BY49" s="46">
        <v>52.27272727272727</v>
      </c>
      <c r="BZ49" s="45">
        <v>44</v>
      </c>
      <c r="CA49" s="45"/>
      <c r="CB49" s="45"/>
      <c r="CC49" s="45"/>
      <c r="CD49" s="45"/>
      <c r="CE49" s="45" t="s">
        <v>583</v>
      </c>
      <c r="CF49" s="45" t="s">
        <v>11274</v>
      </c>
      <c r="CG49" s="114" t="s">
        <v>11291</v>
      </c>
      <c r="CH49" s="114" t="s">
        <v>11291</v>
      </c>
      <c r="CI49" s="114" t="s">
        <v>11420</v>
      </c>
      <c r="CJ49" s="114" t="s">
        <v>11420</v>
      </c>
      <c r="CK49" s="2"/>
    </row>
    <row r="50" spans="1:89" ht="41.45" customHeight="1">
      <c r="A50" s="61" t="s">
        <v>232</v>
      </c>
      <c r="C50" s="62"/>
      <c r="D50" s="62" t="s">
        <v>64</v>
      </c>
      <c r="E50" s="63">
        <v>70</v>
      </c>
      <c r="F50" s="65"/>
      <c r="G50" s="101" t="str">
        <f>HYPERLINK("https://pbs.twimg.com/profile_images/1493693239005745157/wGhfG2bM_normal.jpg")</f>
        <v>https://pbs.twimg.com/profile_images/1493693239005745157/wGhfG2bM_normal.jpg</v>
      </c>
      <c r="H50" s="62"/>
      <c r="I50" s="66" t="s">
        <v>232</v>
      </c>
      <c r="J50" s="67"/>
      <c r="K50" s="67" t="s">
        <v>75</v>
      </c>
      <c r="L50" s="66" t="s">
        <v>2117</v>
      </c>
      <c r="M50" s="70">
        <v>1</v>
      </c>
      <c r="N50" s="71">
        <v>73.25743865966797</v>
      </c>
      <c r="O50" s="71">
        <v>2204.038330078125</v>
      </c>
      <c r="P50" s="72"/>
      <c r="Q50" s="73"/>
      <c r="R50" s="73"/>
      <c r="S50" s="87"/>
      <c r="T50" s="45">
        <v>0</v>
      </c>
      <c r="U50" s="45">
        <v>1</v>
      </c>
      <c r="V50" s="46">
        <v>0</v>
      </c>
      <c r="W50" s="46">
        <v>0.016901</v>
      </c>
      <c r="X50" s="46">
        <v>0</v>
      </c>
      <c r="Y50" s="46">
        <v>0.004166</v>
      </c>
      <c r="Z50" s="46">
        <v>0</v>
      </c>
      <c r="AA50" s="46">
        <v>0</v>
      </c>
      <c r="AB50" s="68">
        <v>26</v>
      </c>
      <c r="AC50" s="68"/>
      <c r="AD50" s="69"/>
      <c r="AE50" s="76" t="s">
        <v>1350</v>
      </c>
      <c r="AF50" s="80" t="s">
        <v>1240</v>
      </c>
      <c r="AG50" s="76">
        <v>157</v>
      </c>
      <c r="AH50" s="76">
        <v>500</v>
      </c>
      <c r="AI50" s="76">
        <v>9420</v>
      </c>
      <c r="AJ50" s="76">
        <v>23</v>
      </c>
      <c r="AK50" s="76">
        <v>8566</v>
      </c>
      <c r="AL50" s="76">
        <v>584</v>
      </c>
      <c r="AM50" s="76" t="b">
        <v>0</v>
      </c>
      <c r="AN50" s="78">
        <v>44424.022893518515</v>
      </c>
      <c r="AO50" s="76" t="s">
        <v>855</v>
      </c>
      <c r="AP50" s="76" t="s">
        <v>1771</v>
      </c>
      <c r="AQ50" s="76"/>
      <c r="AR50" s="76"/>
      <c r="AS50" s="76"/>
      <c r="AT50" s="76"/>
      <c r="AU50" s="76"/>
      <c r="AV50" s="76"/>
      <c r="AW50" s="76">
        <v>1.57338444146422E+18</v>
      </c>
      <c r="AX50" s="76"/>
      <c r="AY50" s="76" t="b">
        <v>0</v>
      </c>
      <c r="AZ50" s="76"/>
      <c r="BA50" s="76"/>
      <c r="BB50" s="76" t="b">
        <v>0</v>
      </c>
      <c r="BC50" s="76" t="b">
        <v>1</v>
      </c>
      <c r="BD50" s="76" t="b">
        <v>1</v>
      </c>
      <c r="BE50" s="76" t="b">
        <v>0</v>
      </c>
      <c r="BF50" s="76" t="b">
        <v>1</v>
      </c>
      <c r="BG50" s="76" t="b">
        <v>0</v>
      </c>
      <c r="BH50" s="76" t="b">
        <v>0</v>
      </c>
      <c r="BI50" s="82" t="str">
        <f>HYPERLINK("https://pbs.twimg.com/profile_banners/1427065699491487747/1698287780")</f>
        <v>https://pbs.twimg.com/profile_banners/1427065699491487747/1698287780</v>
      </c>
      <c r="BJ50" s="76"/>
      <c r="BK50" s="76" t="s">
        <v>2092</v>
      </c>
      <c r="BL50" s="76" t="b">
        <v>0</v>
      </c>
      <c r="BM50" s="76"/>
      <c r="BN50" s="76" t="s">
        <v>66</v>
      </c>
      <c r="BO50" s="76" t="s">
        <v>2094</v>
      </c>
      <c r="BP50" s="82" t="str">
        <f>HYPERLINK("https://twitter.com/tradedebater")</f>
        <v>https://twitter.com/tradedebater</v>
      </c>
      <c r="BQ50" s="76" t="str">
        <f>REPLACE(INDEX(GroupVertices[Group],MATCH("~"&amp;Vertices[[#This Row],[Vertex]],GroupVertices[Vertex],0)),1,1,"")</f>
        <v>2</v>
      </c>
      <c r="BR50" s="45">
        <v>2</v>
      </c>
      <c r="BS50" s="46">
        <v>11.11111111111111</v>
      </c>
      <c r="BT50" s="45">
        <v>1</v>
      </c>
      <c r="BU50" s="46">
        <v>5.555555555555555</v>
      </c>
      <c r="BV50" s="45">
        <v>0</v>
      </c>
      <c r="BW50" s="46">
        <v>0</v>
      </c>
      <c r="BX50" s="45">
        <v>7</v>
      </c>
      <c r="BY50" s="46">
        <v>38.888888888888886</v>
      </c>
      <c r="BZ50" s="45">
        <v>18</v>
      </c>
      <c r="CA50" s="45"/>
      <c r="CB50" s="45"/>
      <c r="CC50" s="45"/>
      <c r="CD50" s="45"/>
      <c r="CE50" s="45"/>
      <c r="CF50" s="45"/>
      <c r="CG50" s="114" t="s">
        <v>11292</v>
      </c>
      <c r="CH50" s="114" t="s">
        <v>11292</v>
      </c>
      <c r="CI50" s="114" t="s">
        <v>11421</v>
      </c>
      <c r="CJ50" s="114" t="s">
        <v>11421</v>
      </c>
      <c r="CK50" s="2"/>
    </row>
    <row r="51" spans="1:89" ht="41.45" customHeight="1">
      <c r="A51" s="61" t="s">
        <v>351</v>
      </c>
      <c r="C51" s="62"/>
      <c r="D51" s="62" t="s">
        <v>64</v>
      </c>
      <c r="E51" s="63">
        <v>70</v>
      </c>
      <c r="F51" s="65"/>
      <c r="G51" s="101" t="str">
        <f>HYPERLINK("https://pbs.twimg.com/profile_images/1728756209040146432/5q2YqJD5_normal.jpg")</f>
        <v>https://pbs.twimg.com/profile_images/1728756209040146432/5q2YqJD5_normal.jpg</v>
      </c>
      <c r="H51" s="62"/>
      <c r="I51" s="66" t="s">
        <v>351</v>
      </c>
      <c r="J51" s="67"/>
      <c r="K51" s="67" t="s">
        <v>75</v>
      </c>
      <c r="L51" s="66" t="s">
        <v>2120</v>
      </c>
      <c r="M51" s="70">
        <v>2000.6</v>
      </c>
      <c r="N51" s="71">
        <v>4181.0693359375</v>
      </c>
      <c r="O51" s="71">
        <v>4771.4482421875</v>
      </c>
      <c r="P51" s="72"/>
      <c r="Q51" s="73"/>
      <c r="R51" s="73"/>
      <c r="S51" s="87"/>
      <c r="T51" s="45">
        <v>1</v>
      </c>
      <c r="U51" s="45">
        <v>0</v>
      </c>
      <c r="V51" s="46">
        <v>0</v>
      </c>
      <c r="W51" s="46">
        <v>0.008451</v>
      </c>
      <c r="X51" s="46">
        <v>0</v>
      </c>
      <c r="Y51" s="46">
        <v>0.004267</v>
      </c>
      <c r="Z51" s="46">
        <v>0</v>
      </c>
      <c r="AA51" s="46">
        <v>0</v>
      </c>
      <c r="AB51" s="68">
        <v>29</v>
      </c>
      <c r="AC51" s="68"/>
      <c r="AD51" s="69"/>
      <c r="AE51" s="76" t="s">
        <v>1353</v>
      </c>
      <c r="AF51" s="80" t="s">
        <v>1555</v>
      </c>
      <c r="AG51" s="76">
        <v>38737</v>
      </c>
      <c r="AH51" s="76">
        <v>33308</v>
      </c>
      <c r="AI51" s="76">
        <v>89463</v>
      </c>
      <c r="AJ51" s="76">
        <v>98</v>
      </c>
      <c r="AK51" s="76">
        <v>319214</v>
      </c>
      <c r="AL51" s="76">
        <v>4369</v>
      </c>
      <c r="AM51" s="76" t="b">
        <v>0</v>
      </c>
      <c r="AN51" s="78">
        <v>43089.034363425926</v>
      </c>
      <c r="AO51" s="76" t="s">
        <v>1659</v>
      </c>
      <c r="AP51" s="76" t="s">
        <v>1774</v>
      </c>
      <c r="AQ51" s="76"/>
      <c r="AR51" s="76"/>
      <c r="AS51" s="76"/>
      <c r="AT51" s="76"/>
      <c r="AU51" s="76"/>
      <c r="AV51" s="76"/>
      <c r="AW51" s="76">
        <v>1.75054775425683E+18</v>
      </c>
      <c r="AX51" s="76"/>
      <c r="AY51" s="76" t="b">
        <v>0</v>
      </c>
      <c r="AZ51" s="76"/>
      <c r="BA51" s="76"/>
      <c r="BB51" s="76" t="b">
        <v>1</v>
      </c>
      <c r="BC51" s="76" t="b">
        <v>0</v>
      </c>
      <c r="BD51" s="76" t="b">
        <v>0</v>
      </c>
      <c r="BE51" s="76" t="b">
        <v>0</v>
      </c>
      <c r="BF51" s="76" t="b">
        <v>1</v>
      </c>
      <c r="BG51" s="76" t="b">
        <v>0</v>
      </c>
      <c r="BH51" s="76" t="b">
        <v>0</v>
      </c>
      <c r="BI51" s="82" t="str">
        <f>HYPERLINK("https://pbs.twimg.com/profile_banners/943282171988627456/1700314922")</f>
        <v>https://pbs.twimg.com/profile_banners/943282171988627456/1700314922</v>
      </c>
      <c r="BJ51" s="76"/>
      <c r="BK51" s="76" t="s">
        <v>2092</v>
      </c>
      <c r="BL51" s="76" t="b">
        <v>0</v>
      </c>
      <c r="BM51" s="76"/>
      <c r="BN51" s="76" t="s">
        <v>65</v>
      </c>
      <c r="BO51" s="76" t="s">
        <v>2094</v>
      </c>
      <c r="BP51" s="82" t="str">
        <f>HYPERLINK("https://twitter.com/mrs_socialista")</f>
        <v>https://twitter.com/mrs_socialista</v>
      </c>
      <c r="BQ51" s="76" t="str">
        <f>REPLACE(INDEX(GroupVertices[Group],MATCH("~"&amp;Vertices[[#This Row],[Vertex]],GroupVertices[Vertex],0)),1,1,"")</f>
        <v>10</v>
      </c>
      <c r="BR51" s="45"/>
      <c r="BS51" s="46"/>
      <c r="BT51" s="45"/>
      <c r="BU51" s="46"/>
      <c r="BV51" s="45"/>
      <c r="BW51" s="46"/>
      <c r="BX51" s="45"/>
      <c r="BY51" s="46"/>
      <c r="BZ51" s="45"/>
      <c r="CA51" s="45"/>
      <c r="CB51" s="45"/>
      <c r="CC51" s="45"/>
      <c r="CD51" s="45"/>
      <c r="CE51" s="45"/>
      <c r="CF51" s="45"/>
      <c r="CG51" s="45"/>
      <c r="CH51" s="45"/>
      <c r="CI51" s="45"/>
      <c r="CJ51" s="45"/>
      <c r="CK51" s="2"/>
    </row>
    <row r="52" spans="1:89" ht="41.45" customHeight="1">
      <c r="A52" s="61" t="s">
        <v>352</v>
      </c>
      <c r="C52" s="62"/>
      <c r="D52" s="62" t="s">
        <v>64</v>
      </c>
      <c r="E52" s="63">
        <v>70</v>
      </c>
      <c r="F52" s="65"/>
      <c r="G52" s="101" t="str">
        <f>HYPERLINK("https://pbs.twimg.com/profile_images/843716411805581312/fWvBoFtF_normal.jpg")</f>
        <v>https://pbs.twimg.com/profile_images/843716411805581312/fWvBoFtF_normal.jpg</v>
      </c>
      <c r="H52" s="62"/>
      <c r="I52" s="66" t="s">
        <v>352</v>
      </c>
      <c r="J52" s="67"/>
      <c r="K52" s="67" t="s">
        <v>75</v>
      </c>
      <c r="L52" s="66" t="s">
        <v>2121</v>
      </c>
      <c r="M52" s="70">
        <v>2000.6</v>
      </c>
      <c r="N52" s="71">
        <v>3667.781982421875</v>
      </c>
      <c r="O52" s="71">
        <v>3932.318603515625</v>
      </c>
      <c r="P52" s="72"/>
      <c r="Q52" s="73"/>
      <c r="R52" s="73"/>
      <c r="S52" s="87"/>
      <c r="T52" s="45">
        <v>1</v>
      </c>
      <c r="U52" s="45">
        <v>0</v>
      </c>
      <c r="V52" s="46">
        <v>0</v>
      </c>
      <c r="W52" s="46">
        <v>0.008451</v>
      </c>
      <c r="X52" s="46">
        <v>0</v>
      </c>
      <c r="Y52" s="46">
        <v>0.004267</v>
      </c>
      <c r="Z52" s="46">
        <v>0</v>
      </c>
      <c r="AA52" s="46">
        <v>0</v>
      </c>
      <c r="AB52" s="68">
        <v>30</v>
      </c>
      <c r="AC52" s="68"/>
      <c r="AD52" s="69"/>
      <c r="AE52" s="76" t="s">
        <v>1354</v>
      </c>
      <c r="AF52" s="80" t="s">
        <v>1556</v>
      </c>
      <c r="AG52" s="76">
        <v>346</v>
      </c>
      <c r="AH52" s="76">
        <v>1302</v>
      </c>
      <c r="AI52" s="76">
        <v>60278</v>
      </c>
      <c r="AJ52" s="76">
        <v>2</v>
      </c>
      <c r="AK52" s="76">
        <v>144051</v>
      </c>
      <c r="AL52" s="76">
        <v>7566</v>
      </c>
      <c r="AM52" s="76" t="b">
        <v>0</v>
      </c>
      <c r="AN52" s="78">
        <v>40927.325</v>
      </c>
      <c r="AO52" s="76"/>
      <c r="AP52" s="76" t="s">
        <v>1775</v>
      </c>
      <c r="AQ52" s="76"/>
      <c r="AR52" s="76"/>
      <c r="AS52" s="76"/>
      <c r="AT52" s="76"/>
      <c r="AU52" s="76"/>
      <c r="AV52" s="76"/>
      <c r="AW52" s="76"/>
      <c r="AX52" s="76"/>
      <c r="AY52" s="76" t="b">
        <v>0</v>
      </c>
      <c r="AZ52" s="76"/>
      <c r="BA52" s="76"/>
      <c r="BB52" s="76" t="b">
        <v>0</v>
      </c>
      <c r="BC52" s="76" t="b">
        <v>0</v>
      </c>
      <c r="BD52" s="76" t="b">
        <v>1</v>
      </c>
      <c r="BE52" s="76" t="b">
        <v>0</v>
      </c>
      <c r="BF52" s="76" t="b">
        <v>1</v>
      </c>
      <c r="BG52" s="76" t="b">
        <v>0</v>
      </c>
      <c r="BH52" s="76" t="b">
        <v>0</v>
      </c>
      <c r="BI52" s="82" t="str">
        <f>HYPERLINK("https://pbs.twimg.com/profile_banners/468174606/1492456756")</f>
        <v>https://pbs.twimg.com/profile_banners/468174606/1492456756</v>
      </c>
      <c r="BJ52" s="76"/>
      <c r="BK52" s="76" t="s">
        <v>2092</v>
      </c>
      <c r="BL52" s="76" t="b">
        <v>0</v>
      </c>
      <c r="BM52" s="76"/>
      <c r="BN52" s="76" t="s">
        <v>65</v>
      </c>
      <c r="BO52" s="76" t="s">
        <v>2094</v>
      </c>
      <c r="BP52" s="82" t="str">
        <f>HYPERLINK("https://twitter.com/tek_sauce")</f>
        <v>https://twitter.com/tek_sauce</v>
      </c>
      <c r="BQ52" s="76" t="str">
        <f>REPLACE(INDEX(GroupVertices[Group],MATCH("~"&amp;Vertices[[#This Row],[Vertex]],GroupVertices[Vertex],0)),1,1,"")</f>
        <v>10</v>
      </c>
      <c r="BR52" s="45"/>
      <c r="BS52" s="46"/>
      <c r="BT52" s="45"/>
      <c r="BU52" s="46"/>
      <c r="BV52" s="45"/>
      <c r="BW52" s="46"/>
      <c r="BX52" s="45"/>
      <c r="BY52" s="46"/>
      <c r="BZ52" s="45"/>
      <c r="CA52" s="45"/>
      <c r="CB52" s="45"/>
      <c r="CC52" s="45"/>
      <c r="CD52" s="45"/>
      <c r="CE52" s="45"/>
      <c r="CF52" s="45"/>
      <c r="CG52" s="45"/>
      <c r="CH52" s="45"/>
      <c r="CI52" s="45"/>
      <c r="CJ52" s="45"/>
      <c r="CK52" s="2"/>
    </row>
    <row r="53" spans="1:89" ht="41.45" customHeight="1">
      <c r="A53" s="61" t="s">
        <v>353</v>
      </c>
      <c r="C53" s="62"/>
      <c r="D53" s="62" t="s">
        <v>64</v>
      </c>
      <c r="E53" s="63">
        <v>70</v>
      </c>
      <c r="F53" s="65"/>
      <c r="G53" s="101" t="str">
        <f>HYPERLINK("https://pbs.twimg.com/profile_images/1686252199104348160/t4mVDQ7E_normal.jpg")</f>
        <v>https://pbs.twimg.com/profile_images/1686252199104348160/t4mVDQ7E_normal.jpg</v>
      </c>
      <c r="H53" s="62"/>
      <c r="I53" s="66" t="s">
        <v>353</v>
      </c>
      <c r="J53" s="67"/>
      <c r="K53" s="67" t="s">
        <v>75</v>
      </c>
      <c r="L53" s="66" t="s">
        <v>2122</v>
      </c>
      <c r="M53" s="70">
        <v>2000.6</v>
      </c>
      <c r="N53" s="71">
        <v>4181.0693359375</v>
      </c>
      <c r="O53" s="71">
        <v>3932.318603515625</v>
      </c>
      <c r="P53" s="72"/>
      <c r="Q53" s="73"/>
      <c r="R53" s="73"/>
      <c r="S53" s="87"/>
      <c r="T53" s="45">
        <v>1</v>
      </c>
      <c r="U53" s="45">
        <v>0</v>
      </c>
      <c r="V53" s="46">
        <v>0</v>
      </c>
      <c r="W53" s="46">
        <v>0.008451</v>
      </c>
      <c r="X53" s="46">
        <v>0</v>
      </c>
      <c r="Y53" s="46">
        <v>0.004267</v>
      </c>
      <c r="Z53" s="46">
        <v>0</v>
      </c>
      <c r="AA53" s="46">
        <v>0</v>
      </c>
      <c r="AB53" s="68">
        <v>31</v>
      </c>
      <c r="AC53" s="68"/>
      <c r="AD53" s="69"/>
      <c r="AE53" s="76" t="s">
        <v>1355</v>
      </c>
      <c r="AF53" s="80" t="s">
        <v>1152</v>
      </c>
      <c r="AG53" s="76">
        <v>359</v>
      </c>
      <c r="AH53" s="76">
        <v>722</v>
      </c>
      <c r="AI53" s="76">
        <v>13693</v>
      </c>
      <c r="AJ53" s="76">
        <v>15</v>
      </c>
      <c r="AK53" s="76">
        <v>130556</v>
      </c>
      <c r="AL53" s="76">
        <v>2157</v>
      </c>
      <c r="AM53" s="76" t="b">
        <v>0</v>
      </c>
      <c r="AN53" s="78">
        <v>41707.91621527778</v>
      </c>
      <c r="AO53" s="76"/>
      <c r="AP53" s="76" t="s">
        <v>1776</v>
      </c>
      <c r="AQ53" s="76"/>
      <c r="AR53" s="76"/>
      <c r="AS53" s="76"/>
      <c r="AT53" s="76"/>
      <c r="AU53" s="76"/>
      <c r="AV53" s="76"/>
      <c r="AW53" s="76"/>
      <c r="AX53" s="76"/>
      <c r="AY53" s="76" t="b">
        <v>0</v>
      </c>
      <c r="AZ53" s="76"/>
      <c r="BA53" s="76"/>
      <c r="BB53" s="76" t="b">
        <v>1</v>
      </c>
      <c r="BC53" s="76" t="b">
        <v>0</v>
      </c>
      <c r="BD53" s="76" t="b">
        <v>1</v>
      </c>
      <c r="BE53" s="76" t="b">
        <v>0</v>
      </c>
      <c r="BF53" s="76" t="b">
        <v>1</v>
      </c>
      <c r="BG53" s="76" t="b">
        <v>0</v>
      </c>
      <c r="BH53" s="76" t="b">
        <v>0</v>
      </c>
      <c r="BI53" s="82" t="str">
        <f>HYPERLINK("https://pbs.twimg.com/profile_banners/2381089621/1690868862")</f>
        <v>https://pbs.twimg.com/profile_banners/2381089621/1690868862</v>
      </c>
      <c r="BJ53" s="76"/>
      <c r="BK53" s="76" t="s">
        <v>2092</v>
      </c>
      <c r="BL53" s="76" t="b">
        <v>0</v>
      </c>
      <c r="BM53" s="76"/>
      <c r="BN53" s="76" t="s">
        <v>65</v>
      </c>
      <c r="BO53" s="76" t="s">
        <v>2094</v>
      </c>
      <c r="BP53" s="82" t="str">
        <f>HYPERLINK("https://twitter.com/jakeguyco")</f>
        <v>https://twitter.com/jakeguyco</v>
      </c>
      <c r="BQ53" s="76" t="str">
        <f>REPLACE(INDEX(GroupVertices[Group],MATCH("~"&amp;Vertices[[#This Row],[Vertex]],GroupVertices[Vertex],0)),1,1,"")</f>
        <v>10</v>
      </c>
      <c r="BR53" s="45"/>
      <c r="BS53" s="46"/>
      <c r="BT53" s="45"/>
      <c r="BU53" s="46"/>
      <c r="BV53" s="45"/>
      <c r="BW53" s="46"/>
      <c r="BX53" s="45"/>
      <c r="BY53" s="46"/>
      <c r="BZ53" s="45"/>
      <c r="CA53" s="45"/>
      <c r="CB53" s="45"/>
      <c r="CC53" s="45"/>
      <c r="CD53" s="45"/>
      <c r="CE53" s="45"/>
      <c r="CF53" s="45"/>
      <c r="CG53" s="45"/>
      <c r="CH53" s="45"/>
      <c r="CI53" s="45"/>
      <c r="CJ53" s="45"/>
      <c r="CK53" s="2"/>
    </row>
    <row r="54" spans="1:89" ht="41.45" customHeight="1">
      <c r="A54" s="61" t="s">
        <v>234</v>
      </c>
      <c r="C54" s="62"/>
      <c r="D54" s="62" t="s">
        <v>64</v>
      </c>
      <c r="E54" s="63">
        <v>70</v>
      </c>
      <c r="F54" s="65"/>
      <c r="G54" s="101" t="str">
        <f>HYPERLINK("https://pbs.twimg.com/profile_images/988694656362795008/f0TZE8zf_normal.jpg")</f>
        <v>https://pbs.twimg.com/profile_images/988694656362795008/f0TZE8zf_normal.jpg</v>
      </c>
      <c r="H54" s="62"/>
      <c r="I54" s="66" t="s">
        <v>234</v>
      </c>
      <c r="J54" s="67"/>
      <c r="K54" s="67" t="s">
        <v>75</v>
      </c>
      <c r="L54" s="66" t="s">
        <v>2123</v>
      </c>
      <c r="M54" s="70">
        <v>2000.6</v>
      </c>
      <c r="N54" s="71">
        <v>691.3887329101562</v>
      </c>
      <c r="O54" s="71">
        <v>4959.181640625</v>
      </c>
      <c r="P54" s="72"/>
      <c r="Q54" s="73"/>
      <c r="R54" s="73"/>
      <c r="S54" s="87"/>
      <c r="T54" s="45">
        <v>1</v>
      </c>
      <c r="U54" s="45">
        <v>1</v>
      </c>
      <c r="V54" s="46">
        <v>0</v>
      </c>
      <c r="W54" s="46">
        <v>0</v>
      </c>
      <c r="X54" s="46">
        <v>0</v>
      </c>
      <c r="Y54" s="46">
        <v>0.004673</v>
      </c>
      <c r="Z54" s="46">
        <v>0</v>
      </c>
      <c r="AA54" s="46">
        <v>0</v>
      </c>
      <c r="AB54" s="68">
        <v>32</v>
      </c>
      <c r="AC54" s="68"/>
      <c r="AD54" s="69"/>
      <c r="AE54" s="76" t="s">
        <v>1356</v>
      </c>
      <c r="AF54" s="80" t="s">
        <v>1557</v>
      </c>
      <c r="AG54" s="76">
        <v>5100</v>
      </c>
      <c r="AH54" s="76">
        <v>196</v>
      </c>
      <c r="AI54" s="76">
        <v>15803</v>
      </c>
      <c r="AJ54" s="76">
        <v>101</v>
      </c>
      <c r="AK54" s="76">
        <v>37221</v>
      </c>
      <c r="AL54" s="76">
        <v>3486</v>
      </c>
      <c r="AM54" s="76" t="b">
        <v>0</v>
      </c>
      <c r="AN54" s="78">
        <v>42282.31961805555</v>
      </c>
      <c r="AO54" s="76" t="s">
        <v>1660</v>
      </c>
      <c r="AP54" s="76" t="s">
        <v>1777</v>
      </c>
      <c r="AQ54" s="82" t="str">
        <f>HYPERLINK("https://t.co/y0wgq9VJya")</f>
        <v>https://t.co/y0wgq9VJya</v>
      </c>
      <c r="AR54" s="82" t="str">
        <f>HYPERLINK("https://darealglo.com")</f>
        <v>https://darealglo.com</v>
      </c>
      <c r="AS54" s="76" t="s">
        <v>1967</v>
      </c>
      <c r="AT54" s="82" t="str">
        <f>HYPERLINK("https://t.co/2shm7KnoyB")</f>
        <v>https://t.co/2shm7KnoyB</v>
      </c>
      <c r="AU54" s="82" t="str">
        <f>HYPERLINK("https://shorturl.at/diLTX")</f>
        <v>https://shorturl.at/diLTX</v>
      </c>
      <c r="AV54" s="76" t="s">
        <v>2071</v>
      </c>
      <c r="AW54" s="76">
        <v>1.75114135235062E+18</v>
      </c>
      <c r="AX54" s="82" t="str">
        <f>HYPERLINK("https://t.co/y0wgq9VJya")</f>
        <v>https://t.co/y0wgq9VJya</v>
      </c>
      <c r="AY54" s="76" t="b">
        <v>1</v>
      </c>
      <c r="AZ54" s="76"/>
      <c r="BA54" s="76"/>
      <c r="BB54" s="76" t="b">
        <v>1</v>
      </c>
      <c r="BC54" s="76" t="b">
        <v>1</v>
      </c>
      <c r="BD54" s="76" t="b">
        <v>1</v>
      </c>
      <c r="BE54" s="76" t="b">
        <v>0</v>
      </c>
      <c r="BF54" s="76" t="b">
        <v>1</v>
      </c>
      <c r="BG54" s="76" t="b">
        <v>0</v>
      </c>
      <c r="BH54" s="76" t="b">
        <v>0</v>
      </c>
      <c r="BI54" s="82" t="str">
        <f>HYPERLINK("https://pbs.twimg.com/profile_banners/3789907333/1704176938")</f>
        <v>https://pbs.twimg.com/profile_banners/3789907333/1704176938</v>
      </c>
      <c r="BJ54" s="76"/>
      <c r="BK54" s="76" t="s">
        <v>2092</v>
      </c>
      <c r="BL54" s="76" t="b">
        <v>0</v>
      </c>
      <c r="BM54" s="76"/>
      <c r="BN54" s="76" t="s">
        <v>66</v>
      </c>
      <c r="BO54" s="76" t="s">
        <v>2094</v>
      </c>
      <c r="BP54" s="82" t="str">
        <f>HYPERLINK("https://twitter.com/darealgreglopez")</f>
        <v>https://twitter.com/darealgreglopez</v>
      </c>
      <c r="BQ54" s="76" t="str">
        <f>REPLACE(INDEX(GroupVertices[Group],MATCH("~"&amp;Vertices[[#This Row],[Vertex]],GroupVertices[Vertex],0)),1,1,"")</f>
        <v>1</v>
      </c>
      <c r="BR54" s="45">
        <v>1</v>
      </c>
      <c r="BS54" s="46">
        <v>2.0408163265306123</v>
      </c>
      <c r="BT54" s="45">
        <v>2</v>
      </c>
      <c r="BU54" s="46">
        <v>4.081632653061225</v>
      </c>
      <c r="BV54" s="45">
        <v>0</v>
      </c>
      <c r="BW54" s="46">
        <v>0</v>
      </c>
      <c r="BX54" s="45">
        <v>23</v>
      </c>
      <c r="BY54" s="46">
        <v>46.93877551020408</v>
      </c>
      <c r="BZ54" s="45">
        <v>49</v>
      </c>
      <c r="CA54" s="45"/>
      <c r="CB54" s="45"/>
      <c r="CC54" s="45"/>
      <c r="CD54" s="45"/>
      <c r="CE54" s="45"/>
      <c r="CF54" s="45"/>
      <c r="CG54" s="114" t="s">
        <v>11294</v>
      </c>
      <c r="CH54" s="114" t="s">
        <v>11294</v>
      </c>
      <c r="CI54" s="114" t="s">
        <v>11423</v>
      </c>
      <c r="CJ54" s="114" t="s">
        <v>11423</v>
      </c>
      <c r="CK54" s="2"/>
    </row>
    <row r="55" spans="1:89" ht="41.45" customHeight="1">
      <c r="A55" s="61" t="s">
        <v>235</v>
      </c>
      <c r="C55" s="62"/>
      <c r="D55" s="62" t="s">
        <v>64</v>
      </c>
      <c r="E55" s="63">
        <v>70</v>
      </c>
      <c r="F55" s="65"/>
      <c r="G55" s="101" t="str">
        <f>HYPERLINK("https://pbs.twimg.com/profile_images/1436524624452341762/4H28f4yK_normal.jpg")</f>
        <v>https://pbs.twimg.com/profile_images/1436524624452341762/4H28f4yK_normal.jpg</v>
      </c>
      <c r="H55" s="62"/>
      <c r="I55" s="66" t="s">
        <v>235</v>
      </c>
      <c r="J55" s="67"/>
      <c r="K55" s="67" t="s">
        <v>75</v>
      </c>
      <c r="L55" s="66" t="s">
        <v>2124</v>
      </c>
      <c r="M55" s="70">
        <v>2000.6</v>
      </c>
      <c r="N55" s="71">
        <v>248.42568969726562</v>
      </c>
      <c r="O55" s="71">
        <v>4959.181640625</v>
      </c>
      <c r="P55" s="72"/>
      <c r="Q55" s="73"/>
      <c r="R55" s="73"/>
      <c r="S55" s="87"/>
      <c r="T55" s="45">
        <v>1</v>
      </c>
      <c r="U55" s="45">
        <v>1</v>
      </c>
      <c r="V55" s="46">
        <v>0</v>
      </c>
      <c r="W55" s="46">
        <v>0</v>
      </c>
      <c r="X55" s="46">
        <v>0</v>
      </c>
      <c r="Y55" s="46">
        <v>0.004673</v>
      </c>
      <c r="Z55" s="46">
        <v>0</v>
      </c>
      <c r="AA55" s="46">
        <v>0</v>
      </c>
      <c r="AB55" s="68">
        <v>33</v>
      </c>
      <c r="AC55" s="68"/>
      <c r="AD55" s="69"/>
      <c r="AE55" s="76" t="s">
        <v>1357</v>
      </c>
      <c r="AF55" s="80" t="s">
        <v>1153</v>
      </c>
      <c r="AG55" s="76">
        <v>260</v>
      </c>
      <c r="AH55" s="76">
        <v>542</v>
      </c>
      <c r="AI55" s="76">
        <v>4799</v>
      </c>
      <c r="AJ55" s="76">
        <v>7</v>
      </c>
      <c r="AK55" s="76">
        <v>10505</v>
      </c>
      <c r="AL55" s="76">
        <v>250</v>
      </c>
      <c r="AM55" s="76" t="b">
        <v>0</v>
      </c>
      <c r="AN55" s="78">
        <v>41432.163993055554</v>
      </c>
      <c r="AO55" s="76"/>
      <c r="AP55" s="76" t="s">
        <v>1778</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2" t="str">
        <f>HYPERLINK("https://pbs.twimg.com/profile_banners/1489439804/1410234684")</f>
        <v>https://pbs.twimg.com/profile_banners/1489439804/1410234684</v>
      </c>
      <c r="BJ55" s="76"/>
      <c r="BK55" s="76" t="s">
        <v>2092</v>
      </c>
      <c r="BL55" s="76" t="b">
        <v>0</v>
      </c>
      <c r="BM55" s="76"/>
      <c r="BN55" s="76" t="s">
        <v>66</v>
      </c>
      <c r="BO55" s="76" t="s">
        <v>2094</v>
      </c>
      <c r="BP55" s="82" t="str">
        <f>HYPERLINK("https://twitter.com/aaronpoole85")</f>
        <v>https://twitter.com/aaronpoole85</v>
      </c>
      <c r="BQ55" s="76" t="str">
        <f>REPLACE(INDEX(GroupVertices[Group],MATCH("~"&amp;Vertices[[#This Row],[Vertex]],GroupVertices[Vertex],0)),1,1,"")</f>
        <v>1</v>
      </c>
      <c r="BR55" s="45">
        <v>1</v>
      </c>
      <c r="BS55" s="46">
        <v>2.0408163265306123</v>
      </c>
      <c r="BT55" s="45">
        <v>3</v>
      </c>
      <c r="BU55" s="46">
        <v>6.122448979591836</v>
      </c>
      <c r="BV55" s="45">
        <v>0</v>
      </c>
      <c r="BW55" s="46">
        <v>0</v>
      </c>
      <c r="BX55" s="45">
        <v>24</v>
      </c>
      <c r="BY55" s="46">
        <v>48.97959183673469</v>
      </c>
      <c r="BZ55" s="45">
        <v>49</v>
      </c>
      <c r="CA55" s="45"/>
      <c r="CB55" s="45"/>
      <c r="CC55" s="45"/>
      <c r="CD55" s="45"/>
      <c r="CE55" s="45"/>
      <c r="CF55" s="45"/>
      <c r="CG55" s="114" t="s">
        <v>11295</v>
      </c>
      <c r="CH55" s="114" t="s">
        <v>11295</v>
      </c>
      <c r="CI55" s="114" t="s">
        <v>11424</v>
      </c>
      <c r="CJ55" s="114" t="s">
        <v>11424</v>
      </c>
      <c r="CK55" s="2"/>
    </row>
    <row r="56" spans="1:89" ht="41.45" customHeight="1">
      <c r="A56" s="61" t="s">
        <v>236</v>
      </c>
      <c r="C56" s="62"/>
      <c r="D56" s="62" t="s">
        <v>64</v>
      </c>
      <c r="E56" s="63">
        <v>70</v>
      </c>
      <c r="F56" s="65"/>
      <c r="G56" s="101" t="str">
        <f>HYPERLINK("https://pbs.twimg.com/profile_images/1713267471795552256/I2PZVV1m_normal.jpg")</f>
        <v>https://pbs.twimg.com/profile_images/1713267471795552256/I2PZVV1m_normal.jpg</v>
      </c>
      <c r="H56" s="62"/>
      <c r="I56" s="66" t="s">
        <v>236</v>
      </c>
      <c r="J56" s="67"/>
      <c r="K56" s="67" t="s">
        <v>75</v>
      </c>
      <c r="L56" s="66" t="s">
        <v>2125</v>
      </c>
      <c r="M56" s="70">
        <v>2000.6</v>
      </c>
      <c r="N56" s="71">
        <v>6327.85009765625</v>
      </c>
      <c r="O56" s="71">
        <v>4486.69873046875</v>
      </c>
      <c r="P56" s="72"/>
      <c r="Q56" s="73"/>
      <c r="R56" s="73"/>
      <c r="S56" s="87"/>
      <c r="T56" s="45">
        <v>1</v>
      </c>
      <c r="U56" s="45">
        <v>2</v>
      </c>
      <c r="V56" s="46">
        <v>0</v>
      </c>
      <c r="W56" s="46">
        <v>0.004695</v>
      </c>
      <c r="X56" s="46">
        <v>0</v>
      </c>
      <c r="Y56" s="46">
        <v>0.004999</v>
      </c>
      <c r="Z56" s="46">
        <v>0</v>
      </c>
      <c r="AA56" s="46">
        <v>0</v>
      </c>
      <c r="AB56" s="68">
        <v>34</v>
      </c>
      <c r="AC56" s="68"/>
      <c r="AD56" s="69"/>
      <c r="AE56" s="76" t="s">
        <v>1358</v>
      </c>
      <c r="AF56" s="80" t="s">
        <v>1558</v>
      </c>
      <c r="AG56" s="76">
        <v>429</v>
      </c>
      <c r="AH56" s="76">
        <v>883</v>
      </c>
      <c r="AI56" s="76">
        <v>7829</v>
      </c>
      <c r="AJ56" s="76">
        <v>5</v>
      </c>
      <c r="AK56" s="76">
        <v>18602</v>
      </c>
      <c r="AL56" s="76">
        <v>1057</v>
      </c>
      <c r="AM56" s="76" t="b">
        <v>0</v>
      </c>
      <c r="AN56" s="78">
        <v>41439.19548611111</v>
      </c>
      <c r="AO56" s="76" t="s">
        <v>1661</v>
      </c>
      <c r="AP56" s="76" t="s">
        <v>1779</v>
      </c>
      <c r="AQ56" s="76"/>
      <c r="AR56" s="76"/>
      <c r="AS56" s="76"/>
      <c r="AT56" s="76"/>
      <c r="AU56" s="76"/>
      <c r="AV56" s="76"/>
      <c r="AW56" s="76"/>
      <c r="AX56" s="76"/>
      <c r="AY56" s="76" t="b">
        <v>1</v>
      </c>
      <c r="AZ56" s="76"/>
      <c r="BA56" s="76"/>
      <c r="BB56" s="76" t="b">
        <v>1</v>
      </c>
      <c r="BC56" s="76" t="b">
        <v>0</v>
      </c>
      <c r="BD56" s="76" t="b">
        <v>1</v>
      </c>
      <c r="BE56" s="76" t="b">
        <v>0</v>
      </c>
      <c r="BF56" s="76" t="b">
        <v>1</v>
      </c>
      <c r="BG56" s="76" t="b">
        <v>0</v>
      </c>
      <c r="BH56" s="76" t="b">
        <v>0</v>
      </c>
      <c r="BI56" s="82" t="str">
        <f>HYPERLINK("https://pbs.twimg.com/profile_banners/1515310844/1646959773")</f>
        <v>https://pbs.twimg.com/profile_banners/1515310844/1646959773</v>
      </c>
      <c r="BJ56" s="76"/>
      <c r="BK56" s="76" t="s">
        <v>2092</v>
      </c>
      <c r="BL56" s="76" t="b">
        <v>0</v>
      </c>
      <c r="BM56" s="76"/>
      <c r="BN56" s="76" t="s">
        <v>66</v>
      </c>
      <c r="BO56" s="76" t="s">
        <v>2094</v>
      </c>
      <c r="BP56" s="82" t="str">
        <f>HYPERLINK("https://twitter.com/1markcoker")</f>
        <v>https://twitter.com/1markcoker</v>
      </c>
      <c r="BQ56" s="76" t="str">
        <f>REPLACE(INDEX(GroupVertices[Group],MATCH("~"&amp;Vertices[[#This Row],[Vertex]],GroupVertices[Vertex],0)),1,1,"")</f>
        <v>62</v>
      </c>
      <c r="BR56" s="45">
        <v>2</v>
      </c>
      <c r="BS56" s="46">
        <v>2.150537634408602</v>
      </c>
      <c r="BT56" s="45">
        <v>6</v>
      </c>
      <c r="BU56" s="46">
        <v>6.451612903225806</v>
      </c>
      <c r="BV56" s="45">
        <v>0</v>
      </c>
      <c r="BW56" s="46">
        <v>0</v>
      </c>
      <c r="BX56" s="45">
        <v>36</v>
      </c>
      <c r="BY56" s="46">
        <v>38.70967741935484</v>
      </c>
      <c r="BZ56" s="45">
        <v>93</v>
      </c>
      <c r="CA56" s="45"/>
      <c r="CB56" s="45"/>
      <c r="CC56" s="45"/>
      <c r="CD56" s="45"/>
      <c r="CE56" s="45"/>
      <c r="CF56" s="45"/>
      <c r="CG56" s="114" t="s">
        <v>11296</v>
      </c>
      <c r="CH56" s="114" t="s">
        <v>11399</v>
      </c>
      <c r="CI56" s="114" t="s">
        <v>11425</v>
      </c>
      <c r="CJ56" s="114" t="s">
        <v>11425</v>
      </c>
      <c r="CK56" s="2"/>
    </row>
    <row r="57" spans="1:89" ht="41.45" customHeight="1">
      <c r="A57" s="61" t="s">
        <v>354</v>
      </c>
      <c r="C57" s="62"/>
      <c r="D57" s="62" t="s">
        <v>64</v>
      </c>
      <c r="E57" s="63">
        <v>70</v>
      </c>
      <c r="F57" s="65"/>
      <c r="G57" s="101" t="str">
        <f>HYPERLINK("https://pbs.twimg.com/profile_images/1539837887633448961/oAS6lRPj_normal.jpg")</f>
        <v>https://pbs.twimg.com/profile_images/1539837887633448961/oAS6lRPj_normal.jpg</v>
      </c>
      <c r="H57" s="62"/>
      <c r="I57" s="66" t="s">
        <v>354</v>
      </c>
      <c r="J57" s="67"/>
      <c r="K57" s="67" t="s">
        <v>75</v>
      </c>
      <c r="L57" s="66" t="s">
        <v>2126</v>
      </c>
      <c r="M57" s="70">
        <v>2000.6</v>
      </c>
      <c r="N57" s="71">
        <v>6327.85009765625</v>
      </c>
      <c r="O57" s="71">
        <v>5144.39453125</v>
      </c>
      <c r="P57" s="72"/>
      <c r="Q57" s="73"/>
      <c r="R57" s="73"/>
      <c r="S57" s="87"/>
      <c r="T57" s="45">
        <v>1</v>
      </c>
      <c r="U57" s="45">
        <v>0</v>
      </c>
      <c r="V57" s="46">
        <v>0</v>
      </c>
      <c r="W57" s="46">
        <v>0.004695</v>
      </c>
      <c r="X57" s="46">
        <v>0</v>
      </c>
      <c r="Y57" s="46">
        <v>0.004347</v>
      </c>
      <c r="Z57" s="46">
        <v>0</v>
      </c>
      <c r="AA57" s="46">
        <v>0</v>
      </c>
      <c r="AB57" s="68">
        <v>35</v>
      </c>
      <c r="AC57" s="68"/>
      <c r="AD57" s="69"/>
      <c r="AE57" s="76" t="s">
        <v>1359</v>
      </c>
      <c r="AF57" s="80" t="s">
        <v>1154</v>
      </c>
      <c r="AG57" s="76">
        <v>15417</v>
      </c>
      <c r="AH57" s="76">
        <v>1616</v>
      </c>
      <c r="AI57" s="76">
        <v>104045</v>
      </c>
      <c r="AJ57" s="76">
        <v>332</v>
      </c>
      <c r="AK57" s="76">
        <v>103355</v>
      </c>
      <c r="AL57" s="76">
        <v>10878</v>
      </c>
      <c r="AM57" s="76" t="b">
        <v>0</v>
      </c>
      <c r="AN57" s="78">
        <v>40598.10456018519</v>
      </c>
      <c r="AO57" s="76" t="s">
        <v>852</v>
      </c>
      <c r="AP57" s="76" t="s">
        <v>1780</v>
      </c>
      <c r="AQ57" s="82" t="str">
        <f>HYPERLINK("https://t.co/KRNMMLBBmW")</f>
        <v>https://t.co/KRNMMLBBmW</v>
      </c>
      <c r="AR57" s="82" t="str">
        <f>HYPERLINK("http://linktr.ee/jackedramsays")</f>
        <v>http://linktr.ee/jackedramsays</v>
      </c>
      <c r="AS57" s="76" t="s">
        <v>1968</v>
      </c>
      <c r="AT57" s="76" t="s">
        <v>2058</v>
      </c>
      <c r="AU57" s="76" t="s">
        <v>2062</v>
      </c>
      <c r="AV57" s="76" t="s">
        <v>2072</v>
      </c>
      <c r="AW57" s="76">
        <v>1.70908534927493E+18</v>
      </c>
      <c r="AX57" s="82" t="str">
        <f>HYPERLINK("https://t.co/KRNMMLBBmW")</f>
        <v>https://t.co/KRNMMLBBmW</v>
      </c>
      <c r="AY57" s="76" t="b">
        <v>1</v>
      </c>
      <c r="AZ57" s="76"/>
      <c r="BA57" s="76"/>
      <c r="BB57" s="76" t="b">
        <v>1</v>
      </c>
      <c r="BC57" s="76" t="b">
        <v>1</v>
      </c>
      <c r="BD57" s="76" t="b">
        <v>0</v>
      </c>
      <c r="BE57" s="76" t="b">
        <v>0</v>
      </c>
      <c r="BF57" s="76" t="b">
        <v>1</v>
      </c>
      <c r="BG57" s="76" t="b">
        <v>0</v>
      </c>
      <c r="BH57" s="76" t="b">
        <v>0</v>
      </c>
      <c r="BI57" s="82" t="str">
        <f>HYPERLINK("https://pbs.twimg.com/profile_banners/256789870/1598029637")</f>
        <v>https://pbs.twimg.com/profile_banners/256789870/1598029637</v>
      </c>
      <c r="BJ57" s="76"/>
      <c r="BK57" s="76" t="s">
        <v>2092</v>
      </c>
      <c r="BL57" s="76" t="b">
        <v>0</v>
      </c>
      <c r="BM57" s="76"/>
      <c r="BN57" s="76" t="s">
        <v>65</v>
      </c>
      <c r="BO57" s="76" t="s">
        <v>2094</v>
      </c>
      <c r="BP57" s="82" t="str">
        <f>HYPERLINK("https://twitter.com/dannymarang")</f>
        <v>https://twitter.com/dannymarang</v>
      </c>
      <c r="BQ57" s="76" t="str">
        <f>REPLACE(INDEX(GroupVertices[Group],MATCH("~"&amp;Vertices[[#This Row],[Vertex]],GroupVertices[Vertex],0)),1,1,"")</f>
        <v>62</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237</v>
      </c>
      <c r="C58" s="62"/>
      <c r="D58" s="62" t="s">
        <v>64</v>
      </c>
      <c r="E58" s="63">
        <v>70</v>
      </c>
      <c r="F58" s="65"/>
      <c r="G58" s="101" t="str">
        <f>HYPERLINK("https://pbs.twimg.com/profile_images/1749584625180270592/a4dS57l4_normal.jpg")</f>
        <v>https://pbs.twimg.com/profile_images/1749584625180270592/a4dS57l4_normal.jpg</v>
      </c>
      <c r="H58" s="62"/>
      <c r="I58" s="66" t="s">
        <v>237</v>
      </c>
      <c r="J58" s="67"/>
      <c r="K58" s="67" t="s">
        <v>75</v>
      </c>
      <c r="L58" s="66" t="s">
        <v>2127</v>
      </c>
      <c r="M58" s="70">
        <v>2000.6</v>
      </c>
      <c r="N58" s="71">
        <v>248.42568969726562</v>
      </c>
      <c r="O58" s="71">
        <v>5866.3486328125</v>
      </c>
      <c r="P58" s="72"/>
      <c r="Q58" s="73"/>
      <c r="R58" s="73"/>
      <c r="S58" s="87"/>
      <c r="T58" s="45">
        <v>1</v>
      </c>
      <c r="U58" s="45">
        <v>1</v>
      </c>
      <c r="V58" s="46">
        <v>0</v>
      </c>
      <c r="W58" s="46">
        <v>0</v>
      </c>
      <c r="X58" s="46">
        <v>0</v>
      </c>
      <c r="Y58" s="46">
        <v>0.004673</v>
      </c>
      <c r="Z58" s="46">
        <v>0</v>
      </c>
      <c r="AA58" s="46">
        <v>0</v>
      </c>
      <c r="AB58" s="68">
        <v>36</v>
      </c>
      <c r="AC58" s="68"/>
      <c r="AD58" s="69"/>
      <c r="AE58" s="76" t="s">
        <v>1360</v>
      </c>
      <c r="AF58" s="80" t="s">
        <v>1242</v>
      </c>
      <c r="AG58" s="76">
        <v>53118</v>
      </c>
      <c r="AH58" s="76">
        <v>52228</v>
      </c>
      <c r="AI58" s="76">
        <v>78668</v>
      </c>
      <c r="AJ58" s="76">
        <v>54</v>
      </c>
      <c r="AK58" s="76">
        <v>296102</v>
      </c>
      <c r="AL58" s="76">
        <v>3386</v>
      </c>
      <c r="AM58" s="76" t="b">
        <v>0</v>
      </c>
      <c r="AN58" s="78">
        <v>43867.08121527778</v>
      </c>
      <c r="AO58" s="76" t="s">
        <v>1662</v>
      </c>
      <c r="AP58" s="76" t="s">
        <v>1781</v>
      </c>
      <c r="AQ58" s="76"/>
      <c r="AR58" s="76"/>
      <c r="AS58" s="76"/>
      <c r="AT58" s="76"/>
      <c r="AU58" s="76"/>
      <c r="AV58" s="76"/>
      <c r="AW58" s="76">
        <v>1.75213863466346E+18</v>
      </c>
      <c r="AX58" s="76"/>
      <c r="AY58" s="76" t="b">
        <v>1</v>
      </c>
      <c r="AZ58" s="76"/>
      <c r="BA58" s="76"/>
      <c r="BB58" s="76" t="b">
        <v>0</v>
      </c>
      <c r="BC58" s="76" t="b">
        <v>1</v>
      </c>
      <c r="BD58" s="76" t="b">
        <v>1</v>
      </c>
      <c r="BE58" s="76" t="b">
        <v>0</v>
      </c>
      <c r="BF58" s="76" t="b">
        <v>1</v>
      </c>
      <c r="BG58" s="76" t="b">
        <v>0</v>
      </c>
      <c r="BH58" s="76" t="b">
        <v>0</v>
      </c>
      <c r="BI58" s="82" t="str">
        <f>HYPERLINK("https://pbs.twimg.com/profile_banners/1225236847137132544/1705568274")</f>
        <v>https://pbs.twimg.com/profile_banners/1225236847137132544/1705568274</v>
      </c>
      <c r="BJ58" s="76"/>
      <c r="BK58" s="76" t="s">
        <v>2092</v>
      </c>
      <c r="BL58" s="76" t="b">
        <v>0</v>
      </c>
      <c r="BM58" s="76"/>
      <c r="BN58" s="76" t="s">
        <v>66</v>
      </c>
      <c r="BO58" s="76" t="s">
        <v>2094</v>
      </c>
      <c r="BP58" s="82" t="str">
        <f>HYPERLINK("https://twitter.com/saylahachey")</f>
        <v>https://twitter.com/saylahachey</v>
      </c>
      <c r="BQ58" s="76" t="str">
        <f>REPLACE(INDEX(GroupVertices[Group],MATCH("~"&amp;Vertices[[#This Row],[Vertex]],GroupVertices[Vertex],0)),1,1,"")</f>
        <v>1</v>
      </c>
      <c r="BR58" s="45">
        <v>1</v>
      </c>
      <c r="BS58" s="46">
        <v>10</v>
      </c>
      <c r="BT58" s="45">
        <v>2</v>
      </c>
      <c r="BU58" s="46">
        <v>20</v>
      </c>
      <c r="BV58" s="45">
        <v>0</v>
      </c>
      <c r="BW58" s="46">
        <v>0</v>
      </c>
      <c r="BX58" s="45">
        <v>1</v>
      </c>
      <c r="BY58" s="46">
        <v>10</v>
      </c>
      <c r="BZ58" s="45">
        <v>10</v>
      </c>
      <c r="CA58" s="45"/>
      <c r="CB58" s="45"/>
      <c r="CC58" s="45"/>
      <c r="CD58" s="45"/>
      <c r="CE58" s="45"/>
      <c r="CF58" s="45"/>
      <c r="CG58" s="114" t="s">
        <v>11297</v>
      </c>
      <c r="CH58" s="114" t="s">
        <v>11297</v>
      </c>
      <c r="CI58" s="114" t="s">
        <v>11426</v>
      </c>
      <c r="CJ58" s="114" t="s">
        <v>11426</v>
      </c>
      <c r="CK58" s="2"/>
    </row>
    <row r="59" spans="1:89" ht="41.45" customHeight="1">
      <c r="A59" s="61" t="s">
        <v>238</v>
      </c>
      <c r="C59" s="62"/>
      <c r="D59" s="62" t="s">
        <v>64</v>
      </c>
      <c r="E59" s="63">
        <v>70</v>
      </c>
      <c r="F59" s="65"/>
      <c r="G59" s="101" t="str">
        <f>HYPERLINK("https://pbs.twimg.com/profile_images/1751808395039084544/gvnbNJNB_normal.jpg")</f>
        <v>https://pbs.twimg.com/profile_images/1751808395039084544/gvnbNJNB_normal.jpg</v>
      </c>
      <c r="H59" s="62"/>
      <c r="I59" s="66" t="s">
        <v>238</v>
      </c>
      <c r="J59" s="67"/>
      <c r="K59" s="67" t="s">
        <v>75</v>
      </c>
      <c r="L59" s="66" t="s">
        <v>2128</v>
      </c>
      <c r="M59" s="70">
        <v>2000.6</v>
      </c>
      <c r="N59" s="71">
        <v>2020.277587890625</v>
      </c>
      <c r="O59" s="71">
        <v>6773.51611328125</v>
      </c>
      <c r="P59" s="72"/>
      <c r="Q59" s="73"/>
      <c r="R59" s="73"/>
      <c r="S59" s="87"/>
      <c r="T59" s="45">
        <v>1</v>
      </c>
      <c r="U59" s="45">
        <v>1</v>
      </c>
      <c r="V59" s="46">
        <v>0</v>
      </c>
      <c r="W59" s="46">
        <v>0</v>
      </c>
      <c r="X59" s="46">
        <v>0</v>
      </c>
      <c r="Y59" s="46">
        <v>0.004673</v>
      </c>
      <c r="Z59" s="46">
        <v>0</v>
      </c>
      <c r="AA59" s="46">
        <v>0</v>
      </c>
      <c r="AB59" s="68">
        <v>37</v>
      </c>
      <c r="AC59" s="68"/>
      <c r="AD59" s="69"/>
      <c r="AE59" s="76" t="s">
        <v>1361</v>
      </c>
      <c r="AF59" s="80" t="s">
        <v>1155</v>
      </c>
      <c r="AG59" s="76">
        <v>1416</v>
      </c>
      <c r="AH59" s="76">
        <v>208</v>
      </c>
      <c r="AI59" s="76">
        <v>59730</v>
      </c>
      <c r="AJ59" s="76">
        <v>66</v>
      </c>
      <c r="AK59" s="76">
        <v>24351</v>
      </c>
      <c r="AL59" s="76">
        <v>2801</v>
      </c>
      <c r="AM59" s="76" t="b">
        <v>0</v>
      </c>
      <c r="AN59" s="78">
        <v>40182.758252314816</v>
      </c>
      <c r="AO59" s="76" t="s">
        <v>852</v>
      </c>
      <c r="AP59" s="76" t="s">
        <v>1782</v>
      </c>
      <c r="AQ59" s="82" t="str">
        <f>HYPERLINK("https://t.co/mLft3xAdlW")</f>
        <v>https://t.co/mLft3xAdlW</v>
      </c>
      <c r="AR59" s="82" t="str">
        <f>HYPERLINK("https://pi-des.org/")</f>
        <v>https://pi-des.org/</v>
      </c>
      <c r="AS59" s="76" t="s">
        <v>1969</v>
      </c>
      <c r="AT59" s="76"/>
      <c r="AU59" s="76"/>
      <c r="AV59" s="76"/>
      <c r="AW59" s="76"/>
      <c r="AX59" s="82" t="str">
        <f>HYPERLINK("https://t.co/mLft3xAdlW")</f>
        <v>https://t.co/mLft3xAdlW</v>
      </c>
      <c r="AY59" s="76" t="b">
        <v>0</v>
      </c>
      <c r="AZ59" s="76"/>
      <c r="BA59" s="76"/>
      <c r="BB59" s="76" t="b">
        <v>1</v>
      </c>
      <c r="BC59" s="76" t="b">
        <v>0</v>
      </c>
      <c r="BD59" s="76" t="b">
        <v>0</v>
      </c>
      <c r="BE59" s="76" t="b">
        <v>0</v>
      </c>
      <c r="BF59" s="76" t="b">
        <v>1</v>
      </c>
      <c r="BG59" s="76" t="b">
        <v>0</v>
      </c>
      <c r="BH59" s="76" t="b">
        <v>0</v>
      </c>
      <c r="BI59" s="82" t="str">
        <f>HYPERLINK("https://pbs.twimg.com/profile_banners/101825287/1658242988")</f>
        <v>https://pbs.twimg.com/profile_banners/101825287/1658242988</v>
      </c>
      <c r="BJ59" s="76"/>
      <c r="BK59" s="76" t="s">
        <v>2092</v>
      </c>
      <c r="BL59" s="76" t="b">
        <v>0</v>
      </c>
      <c r="BM59" s="76"/>
      <c r="BN59" s="76" t="s">
        <v>66</v>
      </c>
      <c r="BO59" s="76" t="s">
        <v>2094</v>
      </c>
      <c r="BP59" s="82" t="str">
        <f>HYPERLINK("https://twitter.com/dc_us")</f>
        <v>https://twitter.com/dc_us</v>
      </c>
      <c r="BQ59" s="76" t="str">
        <f>REPLACE(INDEX(GroupVertices[Group],MATCH("~"&amp;Vertices[[#This Row],[Vertex]],GroupVertices[Vertex],0)),1,1,"")</f>
        <v>1</v>
      </c>
      <c r="BR59" s="45">
        <v>0</v>
      </c>
      <c r="BS59" s="46">
        <v>0</v>
      </c>
      <c r="BT59" s="45">
        <v>3</v>
      </c>
      <c r="BU59" s="46">
        <v>7.894736842105263</v>
      </c>
      <c r="BV59" s="45">
        <v>0</v>
      </c>
      <c r="BW59" s="46">
        <v>0</v>
      </c>
      <c r="BX59" s="45">
        <v>30</v>
      </c>
      <c r="BY59" s="46">
        <v>78.94736842105263</v>
      </c>
      <c r="BZ59" s="45">
        <v>38</v>
      </c>
      <c r="CA59" s="45"/>
      <c r="CB59" s="45"/>
      <c r="CC59" s="45"/>
      <c r="CD59" s="45"/>
      <c r="CE59" s="45"/>
      <c r="CF59" s="45"/>
      <c r="CG59" s="114" t="s">
        <v>11298</v>
      </c>
      <c r="CH59" s="114" t="s">
        <v>11298</v>
      </c>
      <c r="CI59" s="114" t="s">
        <v>11427</v>
      </c>
      <c r="CJ59" s="114" t="s">
        <v>11427</v>
      </c>
      <c r="CK59" s="2"/>
    </row>
    <row r="60" spans="1:89" ht="41.45" customHeight="1">
      <c r="A60" s="61" t="s">
        <v>239</v>
      </c>
      <c r="C60" s="62"/>
      <c r="D60" s="62" t="s">
        <v>64</v>
      </c>
      <c r="E60" s="63">
        <v>70</v>
      </c>
      <c r="F60" s="65"/>
      <c r="G60" s="101" t="str">
        <f>HYPERLINK("https://pbs.twimg.com/profile_images/1094430719722512384/wkO7QMpY_normal.jpg")</f>
        <v>https://pbs.twimg.com/profile_images/1094430719722512384/wkO7QMpY_normal.jpg</v>
      </c>
      <c r="H60" s="62"/>
      <c r="I60" s="66" t="s">
        <v>239</v>
      </c>
      <c r="J60" s="67"/>
      <c r="K60" s="67" t="s">
        <v>75</v>
      </c>
      <c r="L60" s="66" t="s">
        <v>2129</v>
      </c>
      <c r="M60" s="70">
        <v>1</v>
      </c>
      <c r="N60" s="71">
        <v>9652.7666015625</v>
      </c>
      <c r="O60" s="71">
        <v>7881.01611328125</v>
      </c>
      <c r="P60" s="72"/>
      <c r="Q60" s="73"/>
      <c r="R60" s="73"/>
      <c r="S60" s="87"/>
      <c r="T60" s="45">
        <v>0</v>
      </c>
      <c r="U60" s="45">
        <v>1</v>
      </c>
      <c r="V60" s="46">
        <v>0</v>
      </c>
      <c r="W60" s="46">
        <v>0.004695</v>
      </c>
      <c r="X60" s="46">
        <v>0</v>
      </c>
      <c r="Y60" s="46">
        <v>0.004347</v>
      </c>
      <c r="Z60" s="46">
        <v>0</v>
      </c>
      <c r="AA60" s="46">
        <v>0</v>
      </c>
      <c r="AB60" s="68">
        <v>38</v>
      </c>
      <c r="AC60" s="68"/>
      <c r="AD60" s="69"/>
      <c r="AE60" s="76" t="s">
        <v>1362</v>
      </c>
      <c r="AF60" s="80" t="s">
        <v>1559</v>
      </c>
      <c r="AG60" s="76">
        <v>274</v>
      </c>
      <c r="AH60" s="76">
        <v>1440</v>
      </c>
      <c r="AI60" s="76">
        <v>65596</v>
      </c>
      <c r="AJ60" s="76">
        <v>0</v>
      </c>
      <c r="AK60" s="76">
        <v>143066</v>
      </c>
      <c r="AL60" s="76">
        <v>1675</v>
      </c>
      <c r="AM60" s="76" t="b">
        <v>0</v>
      </c>
      <c r="AN60" s="78">
        <v>41795.289976851855</v>
      </c>
      <c r="AO60" s="76" t="s">
        <v>852</v>
      </c>
      <c r="AP60" s="76" t="s">
        <v>1783</v>
      </c>
      <c r="AQ60" s="76"/>
      <c r="AR60" s="76"/>
      <c r="AS60" s="76"/>
      <c r="AT60" s="76"/>
      <c r="AU60" s="76"/>
      <c r="AV60" s="76"/>
      <c r="AW60" s="76">
        <v>1.75094424325292E+18</v>
      </c>
      <c r="AX60" s="76"/>
      <c r="AY60" s="76" t="b">
        <v>0</v>
      </c>
      <c r="AZ60" s="76"/>
      <c r="BA60" s="76"/>
      <c r="BB60" s="76" t="b">
        <v>1</v>
      </c>
      <c r="BC60" s="76" t="b">
        <v>0</v>
      </c>
      <c r="BD60" s="76" t="b">
        <v>0</v>
      </c>
      <c r="BE60" s="76" t="b">
        <v>0</v>
      </c>
      <c r="BF60" s="76" t="b">
        <v>1</v>
      </c>
      <c r="BG60" s="76" t="b">
        <v>0</v>
      </c>
      <c r="BH60" s="76" t="b">
        <v>0</v>
      </c>
      <c r="BI60" s="82" t="str">
        <f>HYPERLINK("https://pbs.twimg.com/profile_banners/2547545466/1706341096")</f>
        <v>https://pbs.twimg.com/profile_banners/2547545466/1706341096</v>
      </c>
      <c r="BJ60" s="76"/>
      <c r="BK60" s="76" t="s">
        <v>2092</v>
      </c>
      <c r="BL60" s="76" t="b">
        <v>0</v>
      </c>
      <c r="BM60" s="76"/>
      <c r="BN60" s="76" t="s">
        <v>66</v>
      </c>
      <c r="BO60" s="76" t="s">
        <v>2094</v>
      </c>
      <c r="BP60" s="82" t="str">
        <f>HYPERLINK("https://twitter.com/dennisthatsit")</f>
        <v>https://twitter.com/dennisthatsit</v>
      </c>
      <c r="BQ60" s="76" t="str">
        <f>REPLACE(INDEX(GroupVertices[Group],MATCH("~"&amp;Vertices[[#This Row],[Vertex]],GroupVertices[Vertex],0)),1,1,"")</f>
        <v>61</v>
      </c>
      <c r="BR60" s="45">
        <v>1</v>
      </c>
      <c r="BS60" s="46">
        <v>2</v>
      </c>
      <c r="BT60" s="45">
        <v>2</v>
      </c>
      <c r="BU60" s="46">
        <v>4</v>
      </c>
      <c r="BV60" s="45">
        <v>0</v>
      </c>
      <c r="BW60" s="46">
        <v>0</v>
      </c>
      <c r="BX60" s="45">
        <v>19</v>
      </c>
      <c r="BY60" s="46">
        <v>38</v>
      </c>
      <c r="BZ60" s="45">
        <v>50</v>
      </c>
      <c r="CA60" s="45"/>
      <c r="CB60" s="45"/>
      <c r="CC60" s="45"/>
      <c r="CD60" s="45"/>
      <c r="CE60" s="45"/>
      <c r="CF60" s="45"/>
      <c r="CG60" s="114" t="s">
        <v>11299</v>
      </c>
      <c r="CH60" s="114" t="s">
        <v>11299</v>
      </c>
      <c r="CI60" s="114" t="s">
        <v>11428</v>
      </c>
      <c r="CJ60" s="114" t="s">
        <v>11428</v>
      </c>
      <c r="CK60" s="2"/>
    </row>
    <row r="61" spans="1:89" ht="41.45" customHeight="1">
      <c r="A61" s="61" t="s">
        <v>280</v>
      </c>
      <c r="C61" s="62"/>
      <c r="D61" s="62" t="s">
        <v>64</v>
      </c>
      <c r="E61" s="63">
        <v>70</v>
      </c>
      <c r="F61" s="65"/>
      <c r="G61" s="101" t="str">
        <f>HYPERLINK("https://pbs.twimg.com/profile_images/1727128514409668608/YWC9OKuQ_normal.jpg")</f>
        <v>https://pbs.twimg.com/profile_images/1727128514409668608/YWC9OKuQ_normal.jpg</v>
      </c>
      <c r="H61" s="62"/>
      <c r="I61" s="66" t="s">
        <v>280</v>
      </c>
      <c r="J61" s="67"/>
      <c r="K61" s="67" t="s">
        <v>75</v>
      </c>
      <c r="L61" s="66" t="s">
        <v>2130</v>
      </c>
      <c r="M61" s="70">
        <v>4000.2</v>
      </c>
      <c r="N61" s="71">
        <v>9652.7666015625</v>
      </c>
      <c r="O61" s="71">
        <v>7223.31982421875</v>
      </c>
      <c r="P61" s="72"/>
      <c r="Q61" s="73"/>
      <c r="R61" s="73"/>
      <c r="S61" s="87"/>
      <c r="T61" s="45">
        <v>2</v>
      </c>
      <c r="U61" s="45">
        <v>1</v>
      </c>
      <c r="V61" s="46">
        <v>0</v>
      </c>
      <c r="W61" s="46">
        <v>0.004695</v>
      </c>
      <c r="X61" s="46">
        <v>0</v>
      </c>
      <c r="Y61" s="46">
        <v>0.004999</v>
      </c>
      <c r="Z61" s="46">
        <v>0</v>
      </c>
      <c r="AA61" s="46">
        <v>0</v>
      </c>
      <c r="AB61" s="68">
        <v>39</v>
      </c>
      <c r="AC61" s="68"/>
      <c r="AD61" s="69"/>
      <c r="AE61" s="76" t="s">
        <v>1363</v>
      </c>
      <c r="AF61" s="80" t="s">
        <v>1263</v>
      </c>
      <c r="AG61" s="76">
        <v>8920</v>
      </c>
      <c r="AH61" s="76">
        <v>654</v>
      </c>
      <c r="AI61" s="76">
        <v>13024</v>
      </c>
      <c r="AJ61" s="76">
        <v>21</v>
      </c>
      <c r="AK61" s="76">
        <v>40470</v>
      </c>
      <c r="AL61" s="76">
        <v>2152</v>
      </c>
      <c r="AM61" s="76" t="b">
        <v>0</v>
      </c>
      <c r="AN61" s="78">
        <v>43074.821493055555</v>
      </c>
      <c r="AO61" s="76" t="s">
        <v>1663</v>
      </c>
      <c r="AP61" s="76" t="s">
        <v>1784</v>
      </c>
      <c r="AQ61" s="82" t="str">
        <f>HYPERLINK("https://t.co/UBchL7y3zs")</f>
        <v>https://t.co/UBchL7y3zs</v>
      </c>
      <c r="AR61" s="82" t="str">
        <f>HYPERLINK("http://twitch.tv/emiliath")</f>
        <v>http://twitch.tv/emiliath</v>
      </c>
      <c r="AS61" s="76" t="s">
        <v>1970</v>
      </c>
      <c r="AT61" s="82" t="str">
        <f>HYPERLINK("https://t.co/pCqE2b177A")</f>
        <v>https://t.co/pCqE2b177A</v>
      </c>
      <c r="AU61" s="82" t="str">
        <f>HYPERLINK("http://linktr.ee/emiliath")</f>
        <v>http://linktr.ee/emiliath</v>
      </c>
      <c r="AV61" s="76" t="s">
        <v>2073</v>
      </c>
      <c r="AW61" s="76">
        <v>1.68861267171577E+18</v>
      </c>
      <c r="AX61" s="82" t="str">
        <f>HYPERLINK("https://t.co/UBchL7y3zs")</f>
        <v>https://t.co/UBchL7y3zs</v>
      </c>
      <c r="AY61" s="76" t="b">
        <v>0</v>
      </c>
      <c r="AZ61" s="76"/>
      <c r="BA61" s="76"/>
      <c r="BB61" s="76" t="b">
        <v>1</v>
      </c>
      <c r="BC61" s="76" t="b">
        <v>1</v>
      </c>
      <c r="BD61" s="76" t="b">
        <v>0</v>
      </c>
      <c r="BE61" s="76" t="b">
        <v>0</v>
      </c>
      <c r="BF61" s="76" t="b">
        <v>1</v>
      </c>
      <c r="BG61" s="76" t="b">
        <v>0</v>
      </c>
      <c r="BH61" s="76" t="b">
        <v>0</v>
      </c>
      <c r="BI61" s="82" t="str">
        <f>HYPERLINK("https://pbs.twimg.com/profile_banners/938131598893092866/1705808522")</f>
        <v>https://pbs.twimg.com/profile_banners/938131598893092866/1705808522</v>
      </c>
      <c r="BJ61" s="76"/>
      <c r="BK61" s="76" t="s">
        <v>2092</v>
      </c>
      <c r="BL61" s="76" t="b">
        <v>0</v>
      </c>
      <c r="BM61" s="76"/>
      <c r="BN61" s="76" t="s">
        <v>66</v>
      </c>
      <c r="BO61" s="76" t="s">
        <v>2094</v>
      </c>
      <c r="BP61" s="82" t="str">
        <f>HYPERLINK("https://twitter.com/em1liath")</f>
        <v>https://twitter.com/em1liath</v>
      </c>
      <c r="BQ61" s="76" t="str">
        <f>REPLACE(INDEX(GroupVertices[Group],MATCH("~"&amp;Vertices[[#This Row],[Vertex]],GroupVertices[Vertex],0)),1,1,"")</f>
        <v>61</v>
      </c>
      <c r="BR61" s="45">
        <v>1</v>
      </c>
      <c r="BS61" s="46">
        <v>2.5641025641025643</v>
      </c>
      <c r="BT61" s="45">
        <v>2</v>
      </c>
      <c r="BU61" s="46">
        <v>5.128205128205129</v>
      </c>
      <c r="BV61" s="45">
        <v>0</v>
      </c>
      <c r="BW61" s="46">
        <v>0</v>
      </c>
      <c r="BX61" s="45">
        <v>14</v>
      </c>
      <c r="BY61" s="46">
        <v>35.8974358974359</v>
      </c>
      <c r="BZ61" s="45">
        <v>39</v>
      </c>
      <c r="CA61" s="45"/>
      <c r="CB61" s="45"/>
      <c r="CC61" s="45"/>
      <c r="CD61" s="45"/>
      <c r="CE61" s="45"/>
      <c r="CF61" s="45"/>
      <c r="CG61" s="114" t="s">
        <v>11300</v>
      </c>
      <c r="CH61" s="114" t="s">
        <v>11300</v>
      </c>
      <c r="CI61" s="114" t="s">
        <v>11429</v>
      </c>
      <c r="CJ61" s="114" t="s">
        <v>11429</v>
      </c>
      <c r="CK61" s="2"/>
    </row>
    <row r="62" spans="1:89" ht="41.45" customHeight="1">
      <c r="A62" s="61" t="s">
        <v>240</v>
      </c>
      <c r="C62" s="62"/>
      <c r="D62" s="62" t="s">
        <v>64</v>
      </c>
      <c r="E62" s="63">
        <v>70</v>
      </c>
      <c r="F62" s="65"/>
      <c r="G62" s="101" t="str">
        <f>HYPERLINK("https://pbs.twimg.com/profile_images/439635627269558272/7NaPKuqY_normal.jpeg")</f>
        <v>https://pbs.twimg.com/profile_images/439635627269558272/7NaPKuqY_normal.jpeg</v>
      </c>
      <c r="H62" s="62"/>
      <c r="I62" s="66" t="s">
        <v>240</v>
      </c>
      <c r="J62" s="67"/>
      <c r="K62" s="67" t="s">
        <v>75</v>
      </c>
      <c r="L62" s="66" t="s">
        <v>2131</v>
      </c>
      <c r="M62" s="70">
        <v>1</v>
      </c>
      <c r="N62" s="71">
        <v>6327.85009765625</v>
      </c>
      <c r="O62" s="71">
        <v>6513.9658203125</v>
      </c>
      <c r="P62" s="72"/>
      <c r="Q62" s="73"/>
      <c r="R62" s="73"/>
      <c r="S62" s="87"/>
      <c r="T62" s="45">
        <v>0</v>
      </c>
      <c r="U62" s="45">
        <v>1</v>
      </c>
      <c r="V62" s="46">
        <v>0</v>
      </c>
      <c r="W62" s="46">
        <v>0.004695</v>
      </c>
      <c r="X62" s="46">
        <v>0</v>
      </c>
      <c r="Y62" s="46">
        <v>0.004673</v>
      </c>
      <c r="Z62" s="46">
        <v>0</v>
      </c>
      <c r="AA62" s="46">
        <v>0</v>
      </c>
      <c r="AB62" s="68">
        <v>40</v>
      </c>
      <c r="AC62" s="68"/>
      <c r="AD62" s="69"/>
      <c r="AE62" s="76" t="s">
        <v>1364</v>
      </c>
      <c r="AF62" s="80" t="s">
        <v>1560</v>
      </c>
      <c r="AG62" s="76">
        <v>6011</v>
      </c>
      <c r="AH62" s="76">
        <v>6380</v>
      </c>
      <c r="AI62" s="76">
        <v>38036</v>
      </c>
      <c r="AJ62" s="76">
        <v>17</v>
      </c>
      <c r="AK62" s="76">
        <v>52599</v>
      </c>
      <c r="AL62" s="76">
        <v>5728</v>
      </c>
      <c r="AM62" s="76" t="b">
        <v>0</v>
      </c>
      <c r="AN62" s="78">
        <v>39932.23353009259</v>
      </c>
      <c r="AO62" s="76" t="s">
        <v>1664</v>
      </c>
      <c r="AP62" s="76" t="s">
        <v>1785</v>
      </c>
      <c r="AQ62" s="82" t="str">
        <f>HYPERLINK("https://t.co/1UvTt6c4pk")</f>
        <v>https://t.co/1UvTt6c4pk</v>
      </c>
      <c r="AR62" s="82" t="str">
        <f>HYPERLINK("http://threads.net")</f>
        <v>http://threads.net</v>
      </c>
      <c r="AS62" s="76" t="s">
        <v>1971</v>
      </c>
      <c r="AT62" s="76"/>
      <c r="AU62" s="76"/>
      <c r="AV62" s="76"/>
      <c r="AW62" s="76">
        <v>1.68973835432858E+18</v>
      </c>
      <c r="AX62" s="82" t="str">
        <f>HYPERLINK("https://t.co/1UvTt6c4pk")</f>
        <v>https://t.co/1UvTt6c4pk</v>
      </c>
      <c r="AY62" s="76" t="b">
        <v>0</v>
      </c>
      <c r="AZ62" s="76"/>
      <c r="BA62" s="76"/>
      <c r="BB62" s="76" t="b">
        <v>0</v>
      </c>
      <c r="BC62" s="76" t="b">
        <v>1</v>
      </c>
      <c r="BD62" s="76" t="b">
        <v>1</v>
      </c>
      <c r="BE62" s="76" t="b">
        <v>0</v>
      </c>
      <c r="BF62" s="76" t="b">
        <v>1</v>
      </c>
      <c r="BG62" s="76" t="b">
        <v>0</v>
      </c>
      <c r="BH62" s="76" t="b">
        <v>0</v>
      </c>
      <c r="BI62" s="82" t="str">
        <f>HYPERLINK("https://pbs.twimg.com/profile_banners/36297407/1638339345")</f>
        <v>https://pbs.twimg.com/profile_banners/36297407/1638339345</v>
      </c>
      <c r="BJ62" s="76"/>
      <c r="BK62" s="76" t="s">
        <v>2092</v>
      </c>
      <c r="BL62" s="76" t="b">
        <v>0</v>
      </c>
      <c r="BM62" s="76"/>
      <c r="BN62" s="76" t="s">
        <v>66</v>
      </c>
      <c r="BO62" s="76" t="s">
        <v>2094</v>
      </c>
      <c r="BP62" s="82" t="str">
        <f>HYPERLINK("https://twitter.com/glorianelson")</f>
        <v>https://twitter.com/glorianelson</v>
      </c>
      <c r="BQ62" s="76" t="str">
        <f>REPLACE(INDEX(GroupVertices[Group],MATCH("~"&amp;Vertices[[#This Row],[Vertex]],GroupVertices[Vertex],0)),1,1,"")</f>
        <v>60</v>
      </c>
      <c r="BR62" s="45">
        <v>3</v>
      </c>
      <c r="BS62" s="46">
        <v>12</v>
      </c>
      <c r="BT62" s="45">
        <v>1</v>
      </c>
      <c r="BU62" s="46">
        <v>4</v>
      </c>
      <c r="BV62" s="45">
        <v>0</v>
      </c>
      <c r="BW62" s="46">
        <v>0</v>
      </c>
      <c r="BX62" s="45">
        <v>7</v>
      </c>
      <c r="BY62" s="46">
        <v>28</v>
      </c>
      <c r="BZ62" s="45">
        <v>25</v>
      </c>
      <c r="CA62" s="45"/>
      <c r="CB62" s="45"/>
      <c r="CC62" s="45"/>
      <c r="CD62" s="45"/>
      <c r="CE62" s="45"/>
      <c r="CF62" s="45"/>
      <c r="CG62" s="114" t="s">
        <v>11301</v>
      </c>
      <c r="CH62" s="114" t="s">
        <v>11301</v>
      </c>
      <c r="CI62" s="114" t="s">
        <v>11430</v>
      </c>
      <c r="CJ62" s="114" t="s">
        <v>11430</v>
      </c>
      <c r="CK62" s="2"/>
    </row>
    <row r="63" spans="1:89" ht="41.45" customHeight="1">
      <c r="A63" s="61" t="s">
        <v>355</v>
      </c>
      <c r="C63" s="62"/>
      <c r="D63" s="62" t="s">
        <v>64</v>
      </c>
      <c r="E63" s="63">
        <v>70</v>
      </c>
      <c r="F63" s="65"/>
      <c r="G63" s="101" t="str">
        <f>HYPERLINK("https://pbs.twimg.com/profile_images/1744840724380549120/Ix0EvDVT_normal.jpg")</f>
        <v>https://pbs.twimg.com/profile_images/1744840724380549120/Ix0EvDVT_normal.jpg</v>
      </c>
      <c r="H63" s="62"/>
      <c r="I63" s="66" t="s">
        <v>355</v>
      </c>
      <c r="J63" s="67"/>
      <c r="K63" s="67" t="s">
        <v>75</v>
      </c>
      <c r="L63" s="66" t="s">
        <v>2132</v>
      </c>
      <c r="M63" s="70">
        <v>2000.6</v>
      </c>
      <c r="N63" s="71">
        <v>6327.85009765625</v>
      </c>
      <c r="O63" s="71">
        <v>5853.7490234375</v>
      </c>
      <c r="P63" s="72"/>
      <c r="Q63" s="73"/>
      <c r="R63" s="73"/>
      <c r="S63" s="87"/>
      <c r="T63" s="45">
        <v>1</v>
      </c>
      <c r="U63" s="45">
        <v>0</v>
      </c>
      <c r="V63" s="46">
        <v>0</v>
      </c>
      <c r="W63" s="46">
        <v>0.004695</v>
      </c>
      <c r="X63" s="46">
        <v>0</v>
      </c>
      <c r="Y63" s="46">
        <v>0.004673</v>
      </c>
      <c r="Z63" s="46">
        <v>0</v>
      </c>
      <c r="AA63" s="46">
        <v>0</v>
      </c>
      <c r="AB63" s="68">
        <v>41</v>
      </c>
      <c r="AC63" s="68"/>
      <c r="AD63" s="69"/>
      <c r="AE63" s="76" t="s">
        <v>1365</v>
      </c>
      <c r="AF63" s="80" t="s">
        <v>1156</v>
      </c>
      <c r="AG63" s="76">
        <v>589864</v>
      </c>
      <c r="AH63" s="76">
        <v>1618</v>
      </c>
      <c r="AI63" s="76">
        <v>19546</v>
      </c>
      <c r="AJ63" s="76">
        <v>3221</v>
      </c>
      <c r="AK63" s="76">
        <v>98227</v>
      </c>
      <c r="AL63" s="76">
        <v>4998</v>
      </c>
      <c r="AM63" s="76" t="b">
        <v>0</v>
      </c>
      <c r="AN63" s="78">
        <v>43882.090949074074</v>
      </c>
      <c r="AO63" s="76"/>
      <c r="AP63" s="76" t="s">
        <v>1786</v>
      </c>
      <c r="AQ63" s="82" t="str">
        <f>HYPERLINK("https://t.co/OgN8EYGDHY")</f>
        <v>https://t.co/OgN8EYGDHY</v>
      </c>
      <c r="AR63" s="82" t="str">
        <f>HYPERLINK("https://huddleup.substack.com/")</f>
        <v>https://huddleup.substack.com/</v>
      </c>
      <c r="AS63" s="76" t="s">
        <v>1972</v>
      </c>
      <c r="AT63" s="76"/>
      <c r="AU63" s="76"/>
      <c r="AV63" s="76"/>
      <c r="AW63" s="76">
        <v>1.40024576185465E+18</v>
      </c>
      <c r="AX63" s="82" t="str">
        <f>HYPERLINK("https://t.co/OgN8EYGDHY")</f>
        <v>https://t.co/OgN8EYGDHY</v>
      </c>
      <c r="AY63" s="76" t="b">
        <v>1</v>
      </c>
      <c r="AZ63" s="76"/>
      <c r="BA63" s="76"/>
      <c r="BB63" s="76" t="b">
        <v>1</v>
      </c>
      <c r="BC63" s="76" t="b">
        <v>1</v>
      </c>
      <c r="BD63" s="76" t="b">
        <v>1</v>
      </c>
      <c r="BE63" s="76" t="b">
        <v>0</v>
      </c>
      <c r="BF63" s="76" t="b">
        <v>1</v>
      </c>
      <c r="BG63" s="76" t="b">
        <v>0</v>
      </c>
      <c r="BH63" s="76" t="b">
        <v>0</v>
      </c>
      <c r="BI63" s="82" t="str">
        <f>HYPERLINK("https://pbs.twimg.com/profile_banners/1230676218770579456/1634679162")</f>
        <v>https://pbs.twimg.com/profile_banners/1230676218770579456/1634679162</v>
      </c>
      <c r="BJ63" s="76"/>
      <c r="BK63" s="76" t="s">
        <v>2092</v>
      </c>
      <c r="BL63" s="76" t="b">
        <v>0</v>
      </c>
      <c r="BM63" s="76"/>
      <c r="BN63" s="76" t="s">
        <v>65</v>
      </c>
      <c r="BO63" s="76" t="s">
        <v>2094</v>
      </c>
      <c r="BP63" s="82" t="str">
        <f>HYPERLINK("https://twitter.com/joepompliano")</f>
        <v>https://twitter.com/joepompliano</v>
      </c>
      <c r="BQ63" s="76" t="str">
        <f>REPLACE(INDEX(GroupVertices[Group],MATCH("~"&amp;Vertices[[#This Row],[Vertex]],GroupVertices[Vertex],0)),1,1,"")</f>
        <v>60</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356</v>
      </c>
      <c r="C64" s="62"/>
      <c r="D64" s="62" t="s">
        <v>64</v>
      </c>
      <c r="E64" s="63">
        <v>70</v>
      </c>
      <c r="F64" s="65"/>
      <c r="G64" s="101" t="str">
        <f>HYPERLINK("https://pbs.twimg.com/profile_images/1523347553126862851/k6X-8e8o_normal.jpg")</f>
        <v>https://pbs.twimg.com/profile_images/1523347553126862851/k6X-8e8o_normal.jpg</v>
      </c>
      <c r="H64" s="62"/>
      <c r="I64" s="66" t="s">
        <v>356</v>
      </c>
      <c r="J64" s="67"/>
      <c r="K64" s="67" t="s">
        <v>75</v>
      </c>
      <c r="L64" s="66" t="s">
        <v>2134</v>
      </c>
      <c r="M64" s="70">
        <v>2000.6</v>
      </c>
      <c r="N64" s="71">
        <v>5060.79833984375</v>
      </c>
      <c r="O64" s="71">
        <v>1256.1748046875</v>
      </c>
      <c r="P64" s="72"/>
      <c r="Q64" s="73"/>
      <c r="R64" s="73"/>
      <c r="S64" s="87"/>
      <c r="T64" s="45">
        <v>1</v>
      </c>
      <c r="U64" s="45">
        <v>0</v>
      </c>
      <c r="V64" s="46">
        <v>0</v>
      </c>
      <c r="W64" s="46">
        <v>0.00626</v>
      </c>
      <c r="X64" s="46">
        <v>0</v>
      </c>
      <c r="Y64" s="46">
        <v>0.004368</v>
      </c>
      <c r="Z64" s="46">
        <v>0</v>
      </c>
      <c r="AA64" s="46">
        <v>0</v>
      </c>
      <c r="AB64" s="68">
        <v>43</v>
      </c>
      <c r="AC64" s="68"/>
      <c r="AD64" s="69"/>
      <c r="AE64" s="76" t="s">
        <v>1367</v>
      </c>
      <c r="AF64" s="80" t="s">
        <v>1561</v>
      </c>
      <c r="AG64" s="76">
        <v>3405</v>
      </c>
      <c r="AH64" s="76">
        <v>3074</v>
      </c>
      <c r="AI64" s="76">
        <v>141613</v>
      </c>
      <c r="AJ64" s="76">
        <v>6</v>
      </c>
      <c r="AK64" s="76">
        <v>69762</v>
      </c>
      <c r="AL64" s="76">
        <v>11821</v>
      </c>
      <c r="AM64" s="76" t="b">
        <v>0</v>
      </c>
      <c r="AN64" s="78">
        <v>42346.103055555555</v>
      </c>
      <c r="AO64" s="76"/>
      <c r="AP64" s="76" t="s">
        <v>1787</v>
      </c>
      <c r="AQ64" s="76"/>
      <c r="AR64" s="76"/>
      <c r="AS64" s="76"/>
      <c r="AT64" s="76"/>
      <c r="AU64" s="76"/>
      <c r="AV64" s="76"/>
      <c r="AW64" s="76"/>
      <c r="AX64" s="76"/>
      <c r="AY64" s="76" t="b">
        <v>0</v>
      </c>
      <c r="AZ64" s="76"/>
      <c r="BA64" s="76"/>
      <c r="BB64" s="76" t="b">
        <v>0</v>
      </c>
      <c r="BC64" s="76" t="b">
        <v>1</v>
      </c>
      <c r="BD64" s="76" t="b">
        <v>1</v>
      </c>
      <c r="BE64" s="76" t="b">
        <v>0</v>
      </c>
      <c r="BF64" s="76" t="b">
        <v>0</v>
      </c>
      <c r="BG64" s="76" t="b">
        <v>0</v>
      </c>
      <c r="BH64" s="76" t="b">
        <v>0</v>
      </c>
      <c r="BI64" s="76"/>
      <c r="BJ64" s="76"/>
      <c r="BK64" s="76" t="s">
        <v>2092</v>
      </c>
      <c r="BL64" s="76" t="b">
        <v>0</v>
      </c>
      <c r="BM64" s="76"/>
      <c r="BN64" s="76" t="s">
        <v>65</v>
      </c>
      <c r="BO64" s="76" t="s">
        <v>2094</v>
      </c>
      <c r="BP64" s="82" t="str">
        <f>HYPERLINK("https://twitter.com/endofracism")</f>
        <v>https://twitter.com/endofracism</v>
      </c>
      <c r="BQ64" s="76" t="str">
        <f>REPLACE(INDEX(GroupVertices[Group],MATCH("~"&amp;Vertices[[#This Row],[Vertex]],GroupVertices[Vertex],0)),1,1,"")</f>
        <v>21</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357</v>
      </c>
      <c r="C65" s="62"/>
      <c r="D65" s="62" t="s">
        <v>64</v>
      </c>
      <c r="E65" s="63">
        <v>70</v>
      </c>
      <c r="F65" s="65"/>
      <c r="G65" s="101" t="str">
        <f>HYPERLINK("https://pbs.twimg.com/profile_images/1719324591729057792/RUidTuK8_normal.jpg")</f>
        <v>https://pbs.twimg.com/profile_images/1719324591729057792/RUidTuK8_normal.jpg</v>
      </c>
      <c r="H65" s="62"/>
      <c r="I65" s="66" t="s">
        <v>357</v>
      </c>
      <c r="J65" s="67"/>
      <c r="K65" s="67" t="s">
        <v>75</v>
      </c>
      <c r="L65" s="66" t="s">
        <v>2135</v>
      </c>
      <c r="M65" s="70">
        <v>2000.6</v>
      </c>
      <c r="N65" s="71">
        <v>4663.37109375</v>
      </c>
      <c r="O65" s="71">
        <v>452.3236999511719</v>
      </c>
      <c r="P65" s="72"/>
      <c r="Q65" s="73"/>
      <c r="R65" s="73"/>
      <c r="S65" s="87"/>
      <c r="T65" s="45">
        <v>1</v>
      </c>
      <c r="U65" s="45">
        <v>0</v>
      </c>
      <c r="V65" s="46">
        <v>0</v>
      </c>
      <c r="W65" s="46">
        <v>0.00626</v>
      </c>
      <c r="X65" s="46">
        <v>0</v>
      </c>
      <c r="Y65" s="46">
        <v>0.004368</v>
      </c>
      <c r="Z65" s="46">
        <v>0</v>
      </c>
      <c r="AA65" s="46">
        <v>0</v>
      </c>
      <c r="AB65" s="68">
        <v>44</v>
      </c>
      <c r="AC65" s="68"/>
      <c r="AD65" s="69"/>
      <c r="AE65" s="76" t="s">
        <v>1368</v>
      </c>
      <c r="AF65" s="80" t="s">
        <v>1157</v>
      </c>
      <c r="AG65" s="76">
        <v>1305</v>
      </c>
      <c r="AH65" s="76">
        <v>873</v>
      </c>
      <c r="AI65" s="76">
        <v>44981</v>
      </c>
      <c r="AJ65" s="76">
        <v>28</v>
      </c>
      <c r="AK65" s="76">
        <v>3481</v>
      </c>
      <c r="AL65" s="76">
        <v>914</v>
      </c>
      <c r="AM65" s="76" t="b">
        <v>0</v>
      </c>
      <c r="AN65" s="78">
        <v>41524.92009259259</v>
      </c>
      <c r="AO65" s="76" t="s">
        <v>1665</v>
      </c>
      <c r="AP65" s="76" t="s">
        <v>1788</v>
      </c>
      <c r="AQ65" s="76"/>
      <c r="AR65" s="76"/>
      <c r="AS65" s="76"/>
      <c r="AT65" s="76"/>
      <c r="AU65" s="76"/>
      <c r="AV65" s="76"/>
      <c r="AW65" s="76"/>
      <c r="AX65" s="76"/>
      <c r="AY65" s="76" t="b">
        <v>0</v>
      </c>
      <c r="AZ65" s="76"/>
      <c r="BA65" s="76"/>
      <c r="BB65" s="76" t="b">
        <v>1</v>
      </c>
      <c r="BC65" s="76" t="b">
        <v>0</v>
      </c>
      <c r="BD65" s="76" t="b">
        <v>1</v>
      </c>
      <c r="BE65" s="76" t="b">
        <v>0</v>
      </c>
      <c r="BF65" s="76" t="b">
        <v>1</v>
      </c>
      <c r="BG65" s="76" t="b">
        <v>0</v>
      </c>
      <c r="BH65" s="76" t="b">
        <v>0</v>
      </c>
      <c r="BI65" s="82" t="str">
        <f>HYPERLINK("https://pbs.twimg.com/profile_banners/1780368829/1592318591")</f>
        <v>https://pbs.twimg.com/profile_banners/1780368829/1592318591</v>
      </c>
      <c r="BJ65" s="76"/>
      <c r="BK65" s="76" t="s">
        <v>2092</v>
      </c>
      <c r="BL65" s="76" t="b">
        <v>0</v>
      </c>
      <c r="BM65" s="76"/>
      <c r="BN65" s="76" t="s">
        <v>65</v>
      </c>
      <c r="BO65" s="76" t="s">
        <v>2094</v>
      </c>
      <c r="BP65" s="82" t="str">
        <f>HYPERLINK("https://twitter.com/intm_student")</f>
        <v>https://twitter.com/intm_student</v>
      </c>
      <c r="BQ65" s="76" t="str">
        <f>REPLACE(INDEX(GroupVertices[Group],MATCH("~"&amp;Vertices[[#This Row],[Vertex]],GroupVertices[Vertex],0)),1,1,"")</f>
        <v>21</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242</v>
      </c>
      <c r="C66" s="62"/>
      <c r="D66" s="62" t="s">
        <v>64</v>
      </c>
      <c r="E66" s="63">
        <v>70</v>
      </c>
      <c r="F66" s="65"/>
      <c r="G66" s="101" t="str">
        <f>HYPERLINK("https://pbs.twimg.com/profile_images/1726605352899391489/oKG__d7L_normal.jpg")</f>
        <v>https://pbs.twimg.com/profile_images/1726605352899391489/oKG__d7L_normal.jpg</v>
      </c>
      <c r="H66" s="62"/>
      <c r="I66" s="66" t="s">
        <v>242</v>
      </c>
      <c r="J66" s="67"/>
      <c r="K66" s="67" t="s">
        <v>75</v>
      </c>
      <c r="L66" s="66" t="s">
        <v>2136</v>
      </c>
      <c r="M66" s="70">
        <v>2000.6</v>
      </c>
      <c r="N66" s="71">
        <v>1134.3516845703125</v>
      </c>
      <c r="O66" s="71">
        <v>5866.3486328125</v>
      </c>
      <c r="P66" s="72"/>
      <c r="Q66" s="73"/>
      <c r="R66" s="73"/>
      <c r="S66" s="87"/>
      <c r="T66" s="45">
        <v>1</v>
      </c>
      <c r="U66" s="45">
        <v>1</v>
      </c>
      <c r="V66" s="46">
        <v>0</v>
      </c>
      <c r="W66" s="46">
        <v>0</v>
      </c>
      <c r="X66" s="46">
        <v>0</v>
      </c>
      <c r="Y66" s="46">
        <v>0.004673</v>
      </c>
      <c r="Z66" s="46">
        <v>0</v>
      </c>
      <c r="AA66" s="46">
        <v>0</v>
      </c>
      <c r="AB66" s="68">
        <v>45</v>
      </c>
      <c r="AC66" s="68"/>
      <c r="AD66" s="69"/>
      <c r="AE66" s="76" t="s">
        <v>1369</v>
      </c>
      <c r="AF66" s="80" t="s">
        <v>1244</v>
      </c>
      <c r="AG66" s="76">
        <v>63</v>
      </c>
      <c r="AH66" s="76">
        <v>156</v>
      </c>
      <c r="AI66" s="76">
        <v>285</v>
      </c>
      <c r="AJ66" s="76">
        <v>0</v>
      </c>
      <c r="AK66" s="76">
        <v>658</v>
      </c>
      <c r="AL66" s="76">
        <v>29</v>
      </c>
      <c r="AM66" s="76" t="b">
        <v>0</v>
      </c>
      <c r="AN66" s="78">
        <v>45114.972453703704</v>
      </c>
      <c r="AO66" s="76" t="s">
        <v>852</v>
      </c>
      <c r="AP66" s="76" t="s">
        <v>1789</v>
      </c>
      <c r="AQ66" s="82" t="str">
        <f>HYPERLINK("https://t.co/wTO3wnrjXj")</f>
        <v>https://t.co/wTO3wnrjXj</v>
      </c>
      <c r="AR66" s="82" t="str">
        <f>HYPERLINK("https://docs.google.com/document/d/1j_DAg4-QnM18qVGL-vrX4lEg9UMHhUviIQAaBDJTJoc/edit?usp=drivesdk")</f>
        <v>https://docs.google.com/document/d/1j_DAg4-QnM18qVGL-vrX4lEg9UMHhUviIQAaBDJTJoc/edit?usp=drivesdk</v>
      </c>
      <c r="AS66" s="76" t="s">
        <v>1973</v>
      </c>
      <c r="AT66" s="76"/>
      <c r="AU66" s="76"/>
      <c r="AV66" s="76"/>
      <c r="AW66" s="76"/>
      <c r="AX66" s="82" t="str">
        <f>HYPERLINK("https://t.co/wTO3wnrjXj")</f>
        <v>https://t.co/wTO3wnrjXj</v>
      </c>
      <c r="AY66" s="76" t="b">
        <v>0</v>
      </c>
      <c r="AZ66" s="76"/>
      <c r="BA66" s="76"/>
      <c r="BB66" s="76" t="b">
        <v>1</v>
      </c>
      <c r="BC66" s="76" t="b">
        <v>1</v>
      </c>
      <c r="BD66" s="76" t="b">
        <v>1</v>
      </c>
      <c r="BE66" s="76" t="b">
        <v>0</v>
      </c>
      <c r="BF66" s="76" t="b">
        <v>0</v>
      </c>
      <c r="BG66" s="76" t="b">
        <v>0</v>
      </c>
      <c r="BH66" s="76" t="b">
        <v>0</v>
      </c>
      <c r="BI66" s="82" t="str">
        <f>HYPERLINK("https://pbs.twimg.com/profile_banners/1677457390181175296/1700489821")</f>
        <v>https://pbs.twimg.com/profile_banners/1677457390181175296/1700489821</v>
      </c>
      <c r="BJ66" s="76"/>
      <c r="BK66" s="76" t="s">
        <v>2092</v>
      </c>
      <c r="BL66" s="76" t="b">
        <v>0</v>
      </c>
      <c r="BM66" s="76"/>
      <c r="BN66" s="76" t="s">
        <v>66</v>
      </c>
      <c r="BO66" s="76" t="s">
        <v>2094</v>
      </c>
      <c r="BP66" s="82" t="str">
        <f>HYPERLINK("https://twitter.com/rls2231404958")</f>
        <v>https://twitter.com/rls2231404958</v>
      </c>
      <c r="BQ66" s="76" t="str">
        <f>REPLACE(INDEX(GroupVertices[Group],MATCH("~"&amp;Vertices[[#This Row],[Vertex]],GroupVertices[Vertex],0)),1,1,"")</f>
        <v>1</v>
      </c>
      <c r="BR66" s="45">
        <v>2</v>
      </c>
      <c r="BS66" s="46">
        <v>5.555555555555555</v>
      </c>
      <c r="BT66" s="45">
        <v>1</v>
      </c>
      <c r="BU66" s="46">
        <v>2.7777777777777777</v>
      </c>
      <c r="BV66" s="45">
        <v>0</v>
      </c>
      <c r="BW66" s="46">
        <v>0</v>
      </c>
      <c r="BX66" s="45">
        <v>18</v>
      </c>
      <c r="BY66" s="46">
        <v>50</v>
      </c>
      <c r="BZ66" s="45">
        <v>36</v>
      </c>
      <c r="CA66" s="45" t="s">
        <v>11000</v>
      </c>
      <c r="CB66" s="45" t="s">
        <v>11000</v>
      </c>
      <c r="CC66" s="45" t="s">
        <v>601</v>
      </c>
      <c r="CD66" s="45" t="s">
        <v>601</v>
      </c>
      <c r="CE66" s="45" t="s">
        <v>584</v>
      </c>
      <c r="CF66" s="45" t="s">
        <v>11275</v>
      </c>
      <c r="CG66" s="114" t="s">
        <v>11303</v>
      </c>
      <c r="CH66" s="114" t="s">
        <v>11303</v>
      </c>
      <c r="CI66" s="114" t="s">
        <v>11432</v>
      </c>
      <c r="CJ66" s="114" t="s">
        <v>11432</v>
      </c>
      <c r="CK66" s="2"/>
    </row>
    <row r="67" spans="1:89" ht="41.45" customHeight="1">
      <c r="A67" s="61" t="s">
        <v>243</v>
      </c>
      <c r="C67" s="62"/>
      <c r="D67" s="62" t="s">
        <v>64</v>
      </c>
      <c r="E67" s="63">
        <v>70</v>
      </c>
      <c r="F67" s="65"/>
      <c r="G67" s="101" t="str">
        <f>HYPERLINK("https://pbs.twimg.com/profile_images/1683927772098621441/V-jD1C0H_normal.jpg")</f>
        <v>https://pbs.twimg.com/profile_images/1683927772098621441/V-jD1C0H_normal.jpg</v>
      </c>
      <c r="H67" s="62"/>
      <c r="I67" s="66" t="s">
        <v>243</v>
      </c>
      <c r="J67" s="67"/>
      <c r="K67" s="67" t="s">
        <v>75</v>
      </c>
      <c r="L67" s="66" t="s">
        <v>2137</v>
      </c>
      <c r="M67" s="70">
        <v>2000.6</v>
      </c>
      <c r="N67" s="71">
        <v>8321.72265625</v>
      </c>
      <c r="O67" s="71">
        <v>5853.7490234375</v>
      </c>
      <c r="P67" s="72"/>
      <c r="Q67" s="73"/>
      <c r="R67" s="73"/>
      <c r="S67" s="87"/>
      <c r="T67" s="45">
        <v>1</v>
      </c>
      <c r="U67" s="45">
        <v>2</v>
      </c>
      <c r="V67" s="46">
        <v>0</v>
      </c>
      <c r="W67" s="46">
        <v>0.004695</v>
      </c>
      <c r="X67" s="46">
        <v>0</v>
      </c>
      <c r="Y67" s="46">
        <v>0.004999</v>
      </c>
      <c r="Z67" s="46">
        <v>0</v>
      </c>
      <c r="AA67" s="46">
        <v>0</v>
      </c>
      <c r="AB67" s="68">
        <v>46</v>
      </c>
      <c r="AC67" s="68"/>
      <c r="AD67" s="69"/>
      <c r="AE67" s="76" t="s">
        <v>1370</v>
      </c>
      <c r="AF67" s="80" t="s">
        <v>1245</v>
      </c>
      <c r="AG67" s="76">
        <v>2887</v>
      </c>
      <c r="AH67" s="76">
        <v>4942</v>
      </c>
      <c r="AI67" s="76">
        <v>103396</v>
      </c>
      <c r="AJ67" s="76">
        <v>5</v>
      </c>
      <c r="AK67" s="76">
        <v>121501</v>
      </c>
      <c r="AL67" s="76">
        <v>9929</v>
      </c>
      <c r="AM67" s="76" t="b">
        <v>0</v>
      </c>
      <c r="AN67" s="78">
        <v>43852.596504629626</v>
      </c>
      <c r="AO67" s="76" t="s">
        <v>1666</v>
      </c>
      <c r="AP67" s="76" t="s">
        <v>1790</v>
      </c>
      <c r="AQ67" s="76"/>
      <c r="AR67" s="76"/>
      <c r="AS67" s="76"/>
      <c r="AT67" s="76"/>
      <c r="AU67" s="76"/>
      <c r="AV67" s="76"/>
      <c r="AW67" s="76">
        <v>1.50918317889589E+18</v>
      </c>
      <c r="AX67" s="76"/>
      <c r="AY67" s="76" t="b">
        <v>0</v>
      </c>
      <c r="AZ67" s="76"/>
      <c r="BA67" s="76"/>
      <c r="BB67" s="76" t="b">
        <v>0</v>
      </c>
      <c r="BC67" s="76" t="b">
        <v>1</v>
      </c>
      <c r="BD67" s="76" t="b">
        <v>1</v>
      </c>
      <c r="BE67" s="76" t="b">
        <v>0</v>
      </c>
      <c r="BF67" s="76" t="b">
        <v>1</v>
      </c>
      <c r="BG67" s="76" t="b">
        <v>0</v>
      </c>
      <c r="BH67" s="76" t="b">
        <v>0</v>
      </c>
      <c r="BI67" s="82" t="str">
        <f>HYPERLINK("https://pbs.twimg.com/profile_banners/1219987752239812608/1702584247")</f>
        <v>https://pbs.twimg.com/profile_banners/1219987752239812608/1702584247</v>
      </c>
      <c r="BJ67" s="76"/>
      <c r="BK67" s="76" t="s">
        <v>2092</v>
      </c>
      <c r="BL67" s="76" t="b">
        <v>0</v>
      </c>
      <c r="BM67" s="76"/>
      <c r="BN67" s="76" t="s">
        <v>66</v>
      </c>
      <c r="BO67" s="76" t="s">
        <v>2094</v>
      </c>
      <c r="BP67" s="82" t="str">
        <f>HYPERLINK("https://twitter.com/jennife39481653")</f>
        <v>https://twitter.com/jennife39481653</v>
      </c>
      <c r="BQ67" s="76" t="str">
        <f>REPLACE(INDEX(GroupVertices[Group],MATCH("~"&amp;Vertices[[#This Row],[Vertex]],GroupVertices[Vertex],0)),1,1,"")</f>
        <v>59</v>
      </c>
      <c r="BR67" s="45">
        <v>1</v>
      </c>
      <c r="BS67" s="46">
        <v>2.127659574468085</v>
      </c>
      <c r="BT67" s="45">
        <v>9</v>
      </c>
      <c r="BU67" s="46">
        <v>19.148936170212767</v>
      </c>
      <c r="BV67" s="45">
        <v>0</v>
      </c>
      <c r="BW67" s="46">
        <v>0</v>
      </c>
      <c r="BX67" s="45">
        <v>19</v>
      </c>
      <c r="BY67" s="46">
        <v>40.42553191489362</v>
      </c>
      <c r="BZ67" s="45">
        <v>47</v>
      </c>
      <c r="CA67" s="45" t="s">
        <v>11036</v>
      </c>
      <c r="CB67" s="45" t="s">
        <v>11036</v>
      </c>
      <c r="CC67" s="45" t="s">
        <v>602</v>
      </c>
      <c r="CD67" s="45" t="s">
        <v>602</v>
      </c>
      <c r="CE67" s="45" t="s">
        <v>585</v>
      </c>
      <c r="CF67" s="45" t="s">
        <v>585</v>
      </c>
      <c r="CG67" s="114" t="s">
        <v>11304</v>
      </c>
      <c r="CH67" s="114" t="s">
        <v>11400</v>
      </c>
      <c r="CI67" s="114" t="s">
        <v>11433</v>
      </c>
      <c r="CJ67" s="114" t="s">
        <v>11528</v>
      </c>
      <c r="CK67" s="2"/>
    </row>
    <row r="68" spans="1:89" ht="41.45" customHeight="1">
      <c r="A68" s="61" t="s">
        <v>358</v>
      </c>
      <c r="C68" s="62"/>
      <c r="D68" s="62" t="s">
        <v>64</v>
      </c>
      <c r="E68" s="63">
        <v>70</v>
      </c>
      <c r="F68" s="65"/>
      <c r="G68" s="101" t="str">
        <f>HYPERLINK("https://pbs.twimg.com/profile_images/1749114643401129984/3WqmM0-I_normal.jpg")</f>
        <v>https://pbs.twimg.com/profile_images/1749114643401129984/3WqmM0-I_normal.jpg</v>
      </c>
      <c r="H68" s="62"/>
      <c r="I68" s="66" t="s">
        <v>358</v>
      </c>
      <c r="J68" s="67"/>
      <c r="K68" s="67" t="s">
        <v>75</v>
      </c>
      <c r="L68" s="66" t="s">
        <v>2138</v>
      </c>
      <c r="M68" s="70">
        <v>2000.6</v>
      </c>
      <c r="N68" s="71">
        <v>8321.72265625</v>
      </c>
      <c r="O68" s="71">
        <v>6513.9658203125</v>
      </c>
      <c r="P68" s="72"/>
      <c r="Q68" s="73"/>
      <c r="R68" s="73"/>
      <c r="S68" s="87"/>
      <c r="T68" s="45">
        <v>1</v>
      </c>
      <c r="U68" s="45">
        <v>0</v>
      </c>
      <c r="V68" s="46">
        <v>0</v>
      </c>
      <c r="W68" s="46">
        <v>0.004695</v>
      </c>
      <c r="X68" s="46">
        <v>0</v>
      </c>
      <c r="Y68" s="46">
        <v>0.004347</v>
      </c>
      <c r="Z68" s="46">
        <v>0</v>
      </c>
      <c r="AA68" s="46">
        <v>0</v>
      </c>
      <c r="AB68" s="68">
        <v>47</v>
      </c>
      <c r="AC68" s="68"/>
      <c r="AD68" s="69"/>
      <c r="AE68" s="76" t="s">
        <v>1371</v>
      </c>
      <c r="AF68" s="80" t="s">
        <v>1158</v>
      </c>
      <c r="AG68" s="76">
        <v>112373</v>
      </c>
      <c r="AH68" s="76">
        <v>25103</v>
      </c>
      <c r="AI68" s="76">
        <v>51657</v>
      </c>
      <c r="AJ68" s="76">
        <v>540</v>
      </c>
      <c r="AK68" s="76">
        <v>62044</v>
      </c>
      <c r="AL68" s="76">
        <v>7991</v>
      </c>
      <c r="AM68" s="76" t="b">
        <v>0</v>
      </c>
      <c r="AN68" s="78">
        <v>41004.56387731482</v>
      </c>
      <c r="AO68" s="76" t="s">
        <v>1667</v>
      </c>
      <c r="AP68" s="76" t="s">
        <v>1791</v>
      </c>
      <c r="AQ68" s="82" t="str">
        <f>HYPERLINK("https://t.co/u00U5ogjqA")</f>
        <v>https://t.co/u00U5ogjqA</v>
      </c>
      <c r="AR68" s="82" t="str">
        <f>HYPERLINK("https://poplme.co/kennyakers")</f>
        <v>https://poplme.co/kennyakers</v>
      </c>
      <c r="AS68" s="76" t="s">
        <v>1974</v>
      </c>
      <c r="AT68" s="76"/>
      <c r="AU68" s="76"/>
      <c r="AV68" s="76"/>
      <c r="AW68" s="76">
        <v>1.75063660672023E+18</v>
      </c>
      <c r="AX68" s="82" t="str">
        <f>HYPERLINK("https://t.co/u00U5ogjqA")</f>
        <v>https://t.co/u00U5ogjqA</v>
      </c>
      <c r="AY68" s="76" t="b">
        <v>1</v>
      </c>
      <c r="AZ68" s="76"/>
      <c r="BA68" s="76"/>
      <c r="BB68" s="76" t="b">
        <v>1</v>
      </c>
      <c r="BC68" s="76" t="b">
        <v>1</v>
      </c>
      <c r="BD68" s="76" t="b">
        <v>0</v>
      </c>
      <c r="BE68" s="76" t="b">
        <v>0</v>
      </c>
      <c r="BF68" s="76" t="b">
        <v>1</v>
      </c>
      <c r="BG68" s="76" t="b">
        <v>0</v>
      </c>
      <c r="BH68" s="76" t="b">
        <v>0</v>
      </c>
      <c r="BI68" s="82" t="str">
        <f>HYPERLINK("https://pbs.twimg.com/profile_banners/545976685/1705857932")</f>
        <v>https://pbs.twimg.com/profile_banners/545976685/1705857932</v>
      </c>
      <c r="BJ68" s="76"/>
      <c r="BK68" s="76" t="s">
        <v>2092</v>
      </c>
      <c r="BL68" s="76" t="b">
        <v>0</v>
      </c>
      <c r="BM68" s="76"/>
      <c r="BN68" s="76" t="s">
        <v>65</v>
      </c>
      <c r="BO68" s="76" t="s">
        <v>2094</v>
      </c>
      <c r="BP68" s="82" t="str">
        <f>HYPERLINK("https://twitter.com/keneakers")</f>
        <v>https://twitter.com/keneakers</v>
      </c>
      <c r="BQ68" s="76" t="str">
        <f>REPLACE(INDEX(GroupVertices[Group],MATCH("~"&amp;Vertices[[#This Row],[Vertex]],GroupVertices[Vertex],0)),1,1,"")</f>
        <v>59</v>
      </c>
      <c r="BR68" s="45"/>
      <c r="BS68" s="46"/>
      <c r="BT68" s="45"/>
      <c r="BU68" s="46"/>
      <c r="BV68" s="45"/>
      <c r="BW68" s="46"/>
      <c r="BX68" s="45"/>
      <c r="BY68" s="46"/>
      <c r="BZ68" s="45"/>
      <c r="CA68" s="45"/>
      <c r="CB68" s="45"/>
      <c r="CC68" s="45"/>
      <c r="CD68" s="45"/>
      <c r="CE68" s="45"/>
      <c r="CF68" s="45"/>
      <c r="CG68" s="45"/>
      <c r="CH68" s="45"/>
      <c r="CI68" s="45"/>
      <c r="CJ68" s="45"/>
      <c r="CK68" s="2"/>
    </row>
    <row r="69" spans="1:89" ht="41.45" customHeight="1">
      <c r="A69" s="61" t="s">
        <v>359</v>
      </c>
      <c r="C69" s="62"/>
      <c r="D69" s="62" t="s">
        <v>64</v>
      </c>
      <c r="E69" s="63">
        <v>70</v>
      </c>
      <c r="F69" s="65"/>
      <c r="G69" s="101" t="str">
        <f>HYPERLINK("https://pbs.twimg.com/profile_images/1661519593087676416/z4A1A3gs_normal.jpg")</f>
        <v>https://pbs.twimg.com/profile_images/1661519593087676416/z4A1A3gs_normal.jpg</v>
      </c>
      <c r="H69" s="62"/>
      <c r="I69" s="66" t="s">
        <v>359</v>
      </c>
      <c r="J69" s="67"/>
      <c r="K69" s="67" t="s">
        <v>75</v>
      </c>
      <c r="L69" s="66" t="s">
        <v>2140</v>
      </c>
      <c r="M69" s="70">
        <v>2000.6</v>
      </c>
      <c r="N69" s="71">
        <v>4437.712890625</v>
      </c>
      <c r="O69" s="71">
        <v>5663.330078125</v>
      </c>
      <c r="P69" s="72"/>
      <c r="Q69" s="73"/>
      <c r="R69" s="73"/>
      <c r="S69" s="87"/>
      <c r="T69" s="45">
        <v>1</v>
      </c>
      <c r="U69" s="45">
        <v>0</v>
      </c>
      <c r="V69" s="46">
        <v>0</v>
      </c>
      <c r="W69" s="46">
        <v>0.010731</v>
      </c>
      <c r="X69" s="46">
        <v>0</v>
      </c>
      <c r="Y69" s="46">
        <v>0.004216</v>
      </c>
      <c r="Z69" s="46">
        <v>0</v>
      </c>
      <c r="AA69" s="46">
        <v>0</v>
      </c>
      <c r="AB69" s="68">
        <v>49</v>
      </c>
      <c r="AC69" s="68"/>
      <c r="AD69" s="69"/>
      <c r="AE69" s="76" t="s">
        <v>1373</v>
      </c>
      <c r="AF69" s="80" t="s">
        <v>1563</v>
      </c>
      <c r="AG69" s="76">
        <v>2299330</v>
      </c>
      <c r="AH69" s="76">
        <v>3</v>
      </c>
      <c r="AI69" s="76">
        <v>4934</v>
      </c>
      <c r="AJ69" s="76">
        <v>4069</v>
      </c>
      <c r="AK69" s="76">
        <v>68</v>
      </c>
      <c r="AL69" s="76">
        <v>1416</v>
      </c>
      <c r="AM69" s="76" t="b">
        <v>0</v>
      </c>
      <c r="AN69" s="78">
        <v>40948.27851851852</v>
      </c>
      <c r="AO69" s="76" t="s">
        <v>1669</v>
      </c>
      <c r="AP69" s="76" t="s">
        <v>1792</v>
      </c>
      <c r="AQ69" s="82" t="str">
        <f>HYPERLINK("https://t.co/UORiwxKjKH")</f>
        <v>https://t.co/UORiwxKjKH</v>
      </c>
      <c r="AR69" s="82" t="str">
        <f>HYPERLINK("http://rondesantis.com")</f>
        <v>http://rondesantis.com</v>
      </c>
      <c r="AS69" s="76" t="s">
        <v>1975</v>
      </c>
      <c r="AT69" s="76"/>
      <c r="AU69" s="76"/>
      <c r="AV69" s="76"/>
      <c r="AW69" s="76"/>
      <c r="AX69" s="82" t="str">
        <f>HYPERLINK("https://t.co/UORiwxKjKH")</f>
        <v>https://t.co/UORiwxKjKH</v>
      </c>
      <c r="AY69" s="76" t="b">
        <v>1</v>
      </c>
      <c r="AZ69" s="76"/>
      <c r="BA69" s="76"/>
      <c r="BB69" s="76" t="b">
        <v>0</v>
      </c>
      <c r="BC69" s="76" t="b">
        <v>1</v>
      </c>
      <c r="BD69" s="76" t="b">
        <v>0</v>
      </c>
      <c r="BE69" s="76" t="b">
        <v>0</v>
      </c>
      <c r="BF69" s="76" t="b">
        <v>0</v>
      </c>
      <c r="BG69" s="76" t="b">
        <v>0</v>
      </c>
      <c r="BH69" s="76" t="b">
        <v>0</v>
      </c>
      <c r="BI69" s="82" t="str">
        <f>HYPERLINK("https://pbs.twimg.com/profile_banners/487297085/1706192371")</f>
        <v>https://pbs.twimg.com/profile_banners/487297085/1706192371</v>
      </c>
      <c r="BJ69" s="76"/>
      <c r="BK69" s="76" t="s">
        <v>2092</v>
      </c>
      <c r="BL69" s="76" t="b">
        <v>0</v>
      </c>
      <c r="BM69" s="76"/>
      <c r="BN69" s="76" t="s">
        <v>65</v>
      </c>
      <c r="BO69" s="76" t="s">
        <v>2094</v>
      </c>
      <c r="BP69" s="82" t="str">
        <f>HYPERLINK("https://twitter.com/rondesantis")</f>
        <v>https://twitter.com/rondesantis</v>
      </c>
      <c r="BQ69" s="76" t="str">
        <f>REPLACE(INDEX(GroupVertices[Group],MATCH("~"&amp;Vertices[[#This Row],[Vertex]],GroupVertices[Vertex],0)),1,1,"")</f>
        <v>7</v>
      </c>
      <c r="BR69" s="45"/>
      <c r="BS69" s="46"/>
      <c r="BT69" s="45"/>
      <c r="BU69" s="46"/>
      <c r="BV69" s="45"/>
      <c r="BW69" s="46"/>
      <c r="BX69" s="45"/>
      <c r="BY69" s="46"/>
      <c r="BZ69" s="45"/>
      <c r="CA69" s="45"/>
      <c r="CB69" s="45"/>
      <c r="CC69" s="45"/>
      <c r="CD69" s="45"/>
      <c r="CE69" s="45"/>
      <c r="CF69" s="45"/>
      <c r="CG69" s="45"/>
      <c r="CH69" s="45"/>
      <c r="CI69" s="45"/>
      <c r="CJ69" s="45"/>
      <c r="CK69" s="2"/>
    </row>
    <row r="70" spans="1:89" ht="41.45" customHeight="1">
      <c r="A70" s="61" t="s">
        <v>360</v>
      </c>
      <c r="C70" s="62"/>
      <c r="D70" s="62" t="s">
        <v>64</v>
      </c>
      <c r="E70" s="63">
        <v>70</v>
      </c>
      <c r="F70" s="65"/>
      <c r="G70" s="101" t="str">
        <f>HYPERLINK("https://pbs.twimg.com/profile_images/1661514838974115840/o75bDrcc_normal.jpg")</f>
        <v>https://pbs.twimg.com/profile_images/1661514838974115840/o75bDrcc_normal.jpg</v>
      </c>
      <c r="H70" s="62"/>
      <c r="I70" s="66" t="s">
        <v>360</v>
      </c>
      <c r="J70" s="67"/>
      <c r="K70" s="67" t="s">
        <v>75</v>
      </c>
      <c r="L70" s="66" t="s">
        <v>2141</v>
      </c>
      <c r="M70" s="70">
        <v>2000.6</v>
      </c>
      <c r="N70" s="71">
        <v>3611.014892578125</v>
      </c>
      <c r="O70" s="71">
        <v>5241.4111328125</v>
      </c>
      <c r="P70" s="72"/>
      <c r="Q70" s="73"/>
      <c r="R70" s="73"/>
      <c r="S70" s="87"/>
      <c r="T70" s="45">
        <v>1</v>
      </c>
      <c r="U70" s="45">
        <v>0</v>
      </c>
      <c r="V70" s="46">
        <v>0</v>
      </c>
      <c r="W70" s="46">
        <v>0.010731</v>
      </c>
      <c r="X70" s="46">
        <v>0</v>
      </c>
      <c r="Y70" s="46">
        <v>0.004216</v>
      </c>
      <c r="Z70" s="46">
        <v>0</v>
      </c>
      <c r="AA70" s="46">
        <v>0</v>
      </c>
      <c r="AB70" s="68">
        <v>50</v>
      </c>
      <c r="AC70" s="68"/>
      <c r="AD70" s="69"/>
      <c r="AE70" s="76" t="s">
        <v>1374</v>
      </c>
      <c r="AF70" s="80" t="s">
        <v>1564</v>
      </c>
      <c r="AG70" s="76">
        <v>86007</v>
      </c>
      <c r="AH70" s="76">
        <v>78</v>
      </c>
      <c r="AI70" s="76">
        <v>2487</v>
      </c>
      <c r="AJ70" s="76">
        <v>366</v>
      </c>
      <c r="AK70" s="76">
        <v>483</v>
      </c>
      <c r="AL70" s="76">
        <v>917</v>
      </c>
      <c r="AM70" s="76" t="b">
        <v>0</v>
      </c>
      <c r="AN70" s="78">
        <v>44356.61378472222</v>
      </c>
      <c r="AO70" s="76"/>
      <c r="AP70" s="76" t="s">
        <v>1793</v>
      </c>
      <c r="AQ70" s="82" t="str">
        <f>HYPERLINK("https://t.co/9hLiAe4Drc")</f>
        <v>https://t.co/9hLiAe4Drc</v>
      </c>
      <c r="AR70" s="82" t="str">
        <f>HYPERLINK("https://rondesantis.com")</f>
        <v>https://rondesantis.com</v>
      </c>
      <c r="AS70" s="76" t="s">
        <v>1975</v>
      </c>
      <c r="AT70" s="76"/>
      <c r="AU70" s="76"/>
      <c r="AV70" s="76"/>
      <c r="AW70" s="76">
        <v>1.74665776026193E+18</v>
      </c>
      <c r="AX70" s="82" t="str">
        <f>HYPERLINK("https://t.co/9hLiAe4Drc")</f>
        <v>https://t.co/9hLiAe4Drc</v>
      </c>
      <c r="AY70" s="76" t="b">
        <v>1</v>
      </c>
      <c r="AZ70" s="76"/>
      <c r="BA70" s="76"/>
      <c r="BB70" s="76" t="b">
        <v>0</v>
      </c>
      <c r="BC70" s="76" t="b">
        <v>1</v>
      </c>
      <c r="BD70" s="76" t="b">
        <v>1</v>
      </c>
      <c r="BE70" s="76" t="b">
        <v>0</v>
      </c>
      <c r="BF70" s="76" t="b">
        <v>0</v>
      </c>
      <c r="BG70" s="76" t="b">
        <v>0</v>
      </c>
      <c r="BH70" s="76" t="b">
        <v>0</v>
      </c>
      <c r="BI70" s="82" t="str">
        <f>HYPERLINK("https://pbs.twimg.com/profile_banners/1402637486510256135/1684970983")</f>
        <v>https://pbs.twimg.com/profile_banners/1402637486510256135/1684970983</v>
      </c>
      <c r="BJ70" s="76"/>
      <c r="BK70" s="76" t="s">
        <v>2092</v>
      </c>
      <c r="BL70" s="76" t="b">
        <v>0</v>
      </c>
      <c r="BM70" s="76"/>
      <c r="BN70" s="76" t="s">
        <v>65</v>
      </c>
      <c r="BO70" s="76" t="s">
        <v>2094</v>
      </c>
      <c r="BP70" s="82" t="str">
        <f>HYPERLINK("https://twitter.com/teamdesantis")</f>
        <v>https://twitter.com/teamdesantis</v>
      </c>
      <c r="BQ70" s="76" t="str">
        <f>REPLACE(INDEX(GroupVertices[Group],MATCH("~"&amp;Vertices[[#This Row],[Vertex]],GroupVertices[Vertex],0)),1,1,"")</f>
        <v>7</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361</v>
      </c>
      <c r="C71" s="62"/>
      <c r="D71" s="62" t="s">
        <v>64</v>
      </c>
      <c r="E71" s="63">
        <v>70</v>
      </c>
      <c r="F71" s="65"/>
      <c r="G71" s="101" t="str">
        <f>HYPERLINK("https://pbs.twimg.com/profile_images/1497450077752811520/6qb-DKUI_normal.jpg")</f>
        <v>https://pbs.twimg.com/profile_images/1497450077752811520/6qb-DKUI_normal.jpg</v>
      </c>
      <c r="H71" s="62"/>
      <c r="I71" s="66" t="s">
        <v>361</v>
      </c>
      <c r="J71" s="67"/>
      <c r="K71" s="67" t="s">
        <v>75</v>
      </c>
      <c r="L71" s="66" t="s">
        <v>2142</v>
      </c>
      <c r="M71" s="70">
        <v>2000.6</v>
      </c>
      <c r="N71" s="71">
        <v>3411.13818359375</v>
      </c>
      <c r="O71" s="71">
        <v>6944.58447265625</v>
      </c>
      <c r="P71" s="72"/>
      <c r="Q71" s="73"/>
      <c r="R71" s="73"/>
      <c r="S71" s="87"/>
      <c r="T71" s="45">
        <v>1</v>
      </c>
      <c r="U71" s="45">
        <v>0</v>
      </c>
      <c r="V71" s="46">
        <v>0</v>
      </c>
      <c r="W71" s="46">
        <v>0.010731</v>
      </c>
      <c r="X71" s="46">
        <v>0</v>
      </c>
      <c r="Y71" s="46">
        <v>0.004216</v>
      </c>
      <c r="Z71" s="46">
        <v>0</v>
      </c>
      <c r="AA71" s="46">
        <v>0</v>
      </c>
      <c r="AB71" s="68">
        <v>51</v>
      </c>
      <c r="AC71" s="68"/>
      <c r="AD71" s="69"/>
      <c r="AE71" s="76" t="s">
        <v>1375</v>
      </c>
      <c r="AF71" s="80" t="s">
        <v>1565</v>
      </c>
      <c r="AG71" s="76">
        <v>25298</v>
      </c>
      <c r="AH71" s="76">
        <v>2077</v>
      </c>
      <c r="AI71" s="76">
        <v>142880</v>
      </c>
      <c r="AJ71" s="76">
        <v>343</v>
      </c>
      <c r="AK71" s="76">
        <v>164455</v>
      </c>
      <c r="AL71" s="76">
        <v>7352</v>
      </c>
      <c r="AM71" s="76" t="b">
        <v>0</v>
      </c>
      <c r="AN71" s="78">
        <v>42933.86938657407</v>
      </c>
      <c r="AO71" s="76" t="s">
        <v>1670</v>
      </c>
      <c r="AP71" s="76" t="s">
        <v>1794</v>
      </c>
      <c r="AQ71" s="82" t="str">
        <f>HYPERLINK("https://t.co/16Vv3vLbYq")</f>
        <v>https://t.co/16Vv3vLbYq</v>
      </c>
      <c r="AR71" s="82" t="str">
        <f>HYPERLINK("http://senate.gov")</f>
        <v>http://senate.gov</v>
      </c>
      <c r="AS71" s="76" t="s">
        <v>1976</v>
      </c>
      <c r="AT71" s="76"/>
      <c r="AU71" s="76"/>
      <c r="AV71" s="76"/>
      <c r="AW71" s="76">
        <v>1.75174578058967E+18</v>
      </c>
      <c r="AX71" s="82" t="str">
        <f>HYPERLINK("https://t.co/16Vv3vLbYq")</f>
        <v>https://t.co/16Vv3vLbYq</v>
      </c>
      <c r="AY71" s="76" t="b">
        <v>0</v>
      </c>
      <c r="AZ71" s="76"/>
      <c r="BA71" s="76"/>
      <c r="BB71" s="76" t="b">
        <v>1</v>
      </c>
      <c r="BC71" s="76" t="b">
        <v>0</v>
      </c>
      <c r="BD71" s="76" t="b">
        <v>1</v>
      </c>
      <c r="BE71" s="76" t="b">
        <v>0</v>
      </c>
      <c r="BF71" s="76" t="b">
        <v>1</v>
      </c>
      <c r="BG71" s="76" t="b">
        <v>0</v>
      </c>
      <c r="BH71" s="76" t="b">
        <v>0</v>
      </c>
      <c r="BI71" s="82" t="str">
        <f>HYPERLINK("https://pbs.twimg.com/profile_banners/887052266741616640/1647506399")</f>
        <v>https://pbs.twimg.com/profile_banners/887052266741616640/1647506399</v>
      </c>
      <c r="BJ71" s="76"/>
      <c r="BK71" s="76" t="s">
        <v>2092</v>
      </c>
      <c r="BL71" s="76" t="b">
        <v>0</v>
      </c>
      <c r="BM71" s="76"/>
      <c r="BN71" s="76" t="s">
        <v>65</v>
      </c>
      <c r="BO71" s="76" t="s">
        <v>2094</v>
      </c>
      <c r="BP71" s="82" t="str">
        <f>HYPERLINK("https://twitter.com/madeintheusanj")</f>
        <v>https://twitter.com/madeintheusanj</v>
      </c>
      <c r="BQ71" s="76" t="str">
        <f>REPLACE(INDEX(GroupVertices[Group],MATCH("~"&amp;Vertices[[#This Row],[Vertex]],GroupVertices[Vertex],0)),1,1,"")</f>
        <v>7</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362</v>
      </c>
      <c r="C72" s="62"/>
      <c r="D72" s="62" t="s">
        <v>64</v>
      </c>
      <c r="E72" s="63">
        <v>70</v>
      </c>
      <c r="F72" s="65"/>
      <c r="G72" s="101" t="str">
        <f>HYPERLINK("https://pbs.twimg.com/profile_images/1746191669865668608/K4LCaSa8_normal.jpg")</f>
        <v>https://pbs.twimg.com/profile_images/1746191669865668608/K4LCaSa8_normal.jpg</v>
      </c>
      <c r="H72" s="62"/>
      <c r="I72" s="66" t="s">
        <v>362</v>
      </c>
      <c r="J72" s="67"/>
      <c r="K72" s="67" t="s">
        <v>75</v>
      </c>
      <c r="L72" s="66" t="s">
        <v>2143</v>
      </c>
      <c r="M72" s="70">
        <v>2000.6</v>
      </c>
      <c r="N72" s="71">
        <v>4233.8818359375</v>
      </c>
      <c r="O72" s="71">
        <v>7353.09521484375</v>
      </c>
      <c r="P72" s="72"/>
      <c r="Q72" s="73"/>
      <c r="R72" s="73"/>
      <c r="S72" s="87"/>
      <c r="T72" s="45">
        <v>1</v>
      </c>
      <c r="U72" s="45">
        <v>0</v>
      </c>
      <c r="V72" s="46">
        <v>0</v>
      </c>
      <c r="W72" s="46">
        <v>0.010731</v>
      </c>
      <c r="X72" s="46">
        <v>0</v>
      </c>
      <c r="Y72" s="46">
        <v>0.004216</v>
      </c>
      <c r="Z72" s="46">
        <v>0</v>
      </c>
      <c r="AA72" s="46">
        <v>0</v>
      </c>
      <c r="AB72" s="68">
        <v>52</v>
      </c>
      <c r="AC72" s="68"/>
      <c r="AD72" s="69"/>
      <c r="AE72" s="76" t="s">
        <v>1376</v>
      </c>
      <c r="AF72" s="80" t="s">
        <v>1159</v>
      </c>
      <c r="AG72" s="76">
        <v>1315</v>
      </c>
      <c r="AH72" s="76">
        <v>1356</v>
      </c>
      <c r="AI72" s="76">
        <v>41643</v>
      </c>
      <c r="AJ72" s="76">
        <v>8</v>
      </c>
      <c r="AK72" s="76">
        <v>230202</v>
      </c>
      <c r="AL72" s="76">
        <v>2699</v>
      </c>
      <c r="AM72" s="76" t="b">
        <v>0</v>
      </c>
      <c r="AN72" s="78">
        <v>41135.720868055556</v>
      </c>
      <c r="AO72" s="76" t="s">
        <v>1671</v>
      </c>
      <c r="AP72" s="76" t="s">
        <v>1795</v>
      </c>
      <c r="AQ72" s="76"/>
      <c r="AR72" s="76"/>
      <c r="AS72" s="76"/>
      <c r="AT72" s="76"/>
      <c r="AU72" s="76"/>
      <c r="AV72" s="76"/>
      <c r="AW72" s="76">
        <v>1.03628394721335E+18</v>
      </c>
      <c r="AX72" s="76"/>
      <c r="AY72" s="76" t="b">
        <v>0</v>
      </c>
      <c r="AZ72" s="76"/>
      <c r="BA72" s="76"/>
      <c r="BB72" s="76" t="b">
        <v>1</v>
      </c>
      <c r="BC72" s="76" t="b">
        <v>1</v>
      </c>
      <c r="BD72" s="76" t="b">
        <v>1</v>
      </c>
      <c r="BE72" s="76" t="b">
        <v>0</v>
      </c>
      <c r="BF72" s="76" t="b">
        <v>1</v>
      </c>
      <c r="BG72" s="76" t="b">
        <v>0</v>
      </c>
      <c r="BH72" s="76" t="b">
        <v>0</v>
      </c>
      <c r="BI72" s="82" t="str">
        <f>HYPERLINK("https://pbs.twimg.com/profile_banners/757529364/1706456031")</f>
        <v>https://pbs.twimg.com/profile_banners/757529364/1706456031</v>
      </c>
      <c r="BJ72" s="76"/>
      <c r="BK72" s="76" t="s">
        <v>2092</v>
      </c>
      <c r="BL72" s="76" t="b">
        <v>0</v>
      </c>
      <c r="BM72" s="76"/>
      <c r="BN72" s="76" t="s">
        <v>65</v>
      </c>
      <c r="BO72" s="76" t="s">
        <v>2094</v>
      </c>
      <c r="BP72" s="82" t="str">
        <f>HYPERLINK("https://twitter.com/millieminet")</f>
        <v>https://twitter.com/millieminet</v>
      </c>
      <c r="BQ72" s="76" t="str">
        <f>REPLACE(INDEX(GroupVertices[Group],MATCH("~"&amp;Vertices[[#This Row],[Vertex]],GroupVertices[Vertex],0)),1,1,"")</f>
        <v>7</v>
      </c>
      <c r="BR72" s="45"/>
      <c r="BS72" s="46"/>
      <c r="BT72" s="45"/>
      <c r="BU72" s="46"/>
      <c r="BV72" s="45"/>
      <c r="BW72" s="46"/>
      <c r="BX72" s="45"/>
      <c r="BY72" s="46"/>
      <c r="BZ72" s="45"/>
      <c r="CA72" s="45"/>
      <c r="CB72" s="45"/>
      <c r="CC72" s="45"/>
      <c r="CD72" s="45"/>
      <c r="CE72" s="45"/>
      <c r="CF72" s="45"/>
      <c r="CG72" s="45"/>
      <c r="CH72" s="45"/>
      <c r="CI72" s="45"/>
      <c r="CJ72" s="45"/>
      <c r="CK72" s="2"/>
    </row>
    <row r="73" spans="1:89" ht="41.45" customHeight="1">
      <c r="A73" s="61" t="s">
        <v>245</v>
      </c>
      <c r="C73" s="62"/>
      <c r="D73" s="62" t="s">
        <v>64</v>
      </c>
      <c r="E73" s="63">
        <v>70</v>
      </c>
      <c r="F73" s="65"/>
      <c r="G73" s="101" t="str">
        <f>HYPERLINK("https://pbs.twimg.com/profile_images/1550566428624961538/ZQRbRpAa_normal.jpg")</f>
        <v>https://pbs.twimg.com/profile_images/1550566428624961538/ZQRbRpAa_normal.jpg</v>
      </c>
      <c r="H73" s="62"/>
      <c r="I73" s="66" t="s">
        <v>245</v>
      </c>
      <c r="J73" s="67"/>
      <c r="K73" s="67" t="s">
        <v>75</v>
      </c>
      <c r="L73" s="66" t="s">
        <v>2144</v>
      </c>
      <c r="M73" s="70">
        <v>1</v>
      </c>
      <c r="N73" s="71">
        <v>7047.2607421875</v>
      </c>
      <c r="O73" s="71">
        <v>9526.517578125</v>
      </c>
      <c r="P73" s="72"/>
      <c r="Q73" s="73"/>
      <c r="R73" s="73"/>
      <c r="S73" s="87"/>
      <c r="T73" s="45">
        <v>0</v>
      </c>
      <c r="U73" s="45">
        <v>1</v>
      </c>
      <c r="V73" s="46">
        <v>0</v>
      </c>
      <c r="W73" s="46">
        <v>0.00626</v>
      </c>
      <c r="X73" s="46">
        <v>0</v>
      </c>
      <c r="Y73" s="46">
        <v>0.004368</v>
      </c>
      <c r="Z73" s="46">
        <v>0</v>
      </c>
      <c r="AA73" s="46">
        <v>0</v>
      </c>
      <c r="AB73" s="68">
        <v>53</v>
      </c>
      <c r="AC73" s="68"/>
      <c r="AD73" s="69"/>
      <c r="AE73" s="76" t="s">
        <v>1377</v>
      </c>
      <c r="AF73" s="80" t="s">
        <v>1566</v>
      </c>
      <c r="AG73" s="76">
        <v>718</v>
      </c>
      <c r="AH73" s="76">
        <v>355</v>
      </c>
      <c r="AI73" s="76">
        <v>46033</v>
      </c>
      <c r="AJ73" s="76">
        <v>7</v>
      </c>
      <c r="AK73" s="76">
        <v>34010</v>
      </c>
      <c r="AL73" s="76">
        <v>270</v>
      </c>
      <c r="AM73" s="76" t="b">
        <v>0</v>
      </c>
      <c r="AN73" s="78">
        <v>41037.78083333333</v>
      </c>
      <c r="AO73" s="76" t="s">
        <v>852</v>
      </c>
      <c r="AP73" s="76" t="s">
        <v>1796</v>
      </c>
      <c r="AQ73" s="82" t="str">
        <f>HYPERLINK("https://t.co/YfbFt976tU")</f>
        <v>https://t.co/YfbFt976tU</v>
      </c>
      <c r="AR73" s="82" t="str">
        <f>HYPERLINK("https://www.instagram.com/ismailkljucanin/?hl=en")</f>
        <v>https://www.instagram.com/ismailkljucanin/?hl=en</v>
      </c>
      <c r="AS73" s="76" t="s">
        <v>1977</v>
      </c>
      <c r="AT73" s="76"/>
      <c r="AU73" s="76"/>
      <c r="AV73" s="76"/>
      <c r="AW73" s="76"/>
      <c r="AX73" s="82" t="str">
        <f>HYPERLINK("https://t.co/YfbFt976tU")</f>
        <v>https://t.co/YfbFt976tU</v>
      </c>
      <c r="AY73" s="76" t="b">
        <v>0</v>
      </c>
      <c r="AZ73" s="76"/>
      <c r="BA73" s="76"/>
      <c r="BB73" s="76" t="b">
        <v>0</v>
      </c>
      <c r="BC73" s="76" t="b">
        <v>1</v>
      </c>
      <c r="BD73" s="76" t="b">
        <v>0</v>
      </c>
      <c r="BE73" s="76" t="b">
        <v>0</v>
      </c>
      <c r="BF73" s="76" t="b">
        <v>0</v>
      </c>
      <c r="BG73" s="76" t="b">
        <v>0</v>
      </c>
      <c r="BH73" s="76" t="b">
        <v>0</v>
      </c>
      <c r="BI73" s="82" t="str">
        <f>HYPERLINK("https://pbs.twimg.com/profile_banners/574698410/1658518838")</f>
        <v>https://pbs.twimg.com/profile_banners/574698410/1658518838</v>
      </c>
      <c r="BJ73" s="76"/>
      <c r="BK73" s="76" t="s">
        <v>2092</v>
      </c>
      <c r="BL73" s="76" t="b">
        <v>0</v>
      </c>
      <c r="BM73" s="76"/>
      <c r="BN73" s="76" t="s">
        <v>66</v>
      </c>
      <c r="BO73" s="76" t="s">
        <v>2094</v>
      </c>
      <c r="BP73" s="82" t="str">
        <f>HYPERLINK("https://twitter.com/izi_kljucanin")</f>
        <v>https://twitter.com/izi_kljucanin</v>
      </c>
      <c r="BQ73" s="76" t="str">
        <f>REPLACE(INDEX(GroupVertices[Group],MATCH("~"&amp;Vertices[[#This Row],[Vertex]],GroupVertices[Vertex],0)),1,1,"")</f>
        <v>12</v>
      </c>
      <c r="BR73" s="45">
        <v>1</v>
      </c>
      <c r="BS73" s="46">
        <v>2.272727272727273</v>
      </c>
      <c r="BT73" s="45">
        <v>4</v>
      </c>
      <c r="BU73" s="46">
        <v>9.090909090909092</v>
      </c>
      <c r="BV73" s="45">
        <v>0</v>
      </c>
      <c r="BW73" s="46">
        <v>0</v>
      </c>
      <c r="BX73" s="45">
        <v>16</v>
      </c>
      <c r="BY73" s="46">
        <v>36.36363636363637</v>
      </c>
      <c r="BZ73" s="45">
        <v>44</v>
      </c>
      <c r="CA73" s="45"/>
      <c r="CB73" s="45"/>
      <c r="CC73" s="45"/>
      <c r="CD73" s="45"/>
      <c r="CE73" s="45"/>
      <c r="CF73" s="45"/>
      <c r="CG73" s="114" t="s">
        <v>11306</v>
      </c>
      <c r="CH73" s="114" t="s">
        <v>11306</v>
      </c>
      <c r="CI73" s="114" t="s">
        <v>11435</v>
      </c>
      <c r="CJ73" s="114" t="s">
        <v>11435</v>
      </c>
      <c r="CK73" s="2"/>
    </row>
    <row r="74" spans="1:89" ht="41.45" customHeight="1">
      <c r="A74" s="61" t="s">
        <v>363</v>
      </c>
      <c r="C74" s="62"/>
      <c r="D74" s="62" t="s">
        <v>64</v>
      </c>
      <c r="E74" s="63">
        <v>70</v>
      </c>
      <c r="F74" s="65"/>
      <c r="G74" s="101" t="str">
        <f>HYPERLINK("https://pbs.twimg.com/profile_images/823911769416417280/HOpPzRrF_normal.jpg")</f>
        <v>https://pbs.twimg.com/profile_images/823911769416417280/HOpPzRrF_normal.jpg</v>
      </c>
      <c r="H74" s="62"/>
      <c r="I74" s="66" t="s">
        <v>363</v>
      </c>
      <c r="J74" s="67"/>
      <c r="K74" s="67" t="s">
        <v>75</v>
      </c>
      <c r="L74" s="66" t="s">
        <v>2147</v>
      </c>
      <c r="M74" s="70">
        <v>2000.6</v>
      </c>
      <c r="N74" s="71">
        <v>2241.759033203125</v>
      </c>
      <c r="O74" s="71">
        <v>1698.1112060546875</v>
      </c>
      <c r="P74" s="72"/>
      <c r="Q74" s="73"/>
      <c r="R74" s="73"/>
      <c r="S74" s="87"/>
      <c r="T74" s="45">
        <v>1</v>
      </c>
      <c r="U74" s="45">
        <v>0</v>
      </c>
      <c r="V74" s="46">
        <v>0</v>
      </c>
      <c r="W74" s="46">
        <v>0.017335</v>
      </c>
      <c r="X74" s="46">
        <v>0</v>
      </c>
      <c r="Y74" s="46">
        <v>0.004224</v>
      </c>
      <c r="Z74" s="46">
        <v>0</v>
      </c>
      <c r="AA74" s="46">
        <v>0</v>
      </c>
      <c r="AB74" s="68">
        <v>56</v>
      </c>
      <c r="AC74" s="68"/>
      <c r="AD74" s="69"/>
      <c r="AE74" s="76" t="s">
        <v>1380</v>
      </c>
      <c r="AF74" s="80" t="s">
        <v>1160</v>
      </c>
      <c r="AG74" s="76">
        <v>152</v>
      </c>
      <c r="AH74" s="76">
        <v>225</v>
      </c>
      <c r="AI74" s="76">
        <v>6956</v>
      </c>
      <c r="AJ74" s="76">
        <v>0</v>
      </c>
      <c r="AK74" s="76">
        <v>31381</v>
      </c>
      <c r="AL74" s="76">
        <v>96</v>
      </c>
      <c r="AM74" s="76" t="b">
        <v>0</v>
      </c>
      <c r="AN74" s="78">
        <v>39880.48003472222</v>
      </c>
      <c r="AO74" s="76" t="s">
        <v>1674</v>
      </c>
      <c r="AP74" s="76"/>
      <c r="AQ74" s="76"/>
      <c r="AR74" s="76"/>
      <c r="AS74" s="76"/>
      <c r="AT74" s="76"/>
      <c r="AU74" s="76"/>
      <c r="AV74" s="76"/>
      <c r="AW74" s="76">
        <v>9.14019318194515E+17</v>
      </c>
      <c r="AX74" s="76"/>
      <c r="AY74" s="76" t="b">
        <v>0</v>
      </c>
      <c r="AZ74" s="76"/>
      <c r="BA74" s="76"/>
      <c r="BB74" s="76" t="b">
        <v>0</v>
      </c>
      <c r="BC74" s="76" t="b">
        <v>0</v>
      </c>
      <c r="BD74" s="76" t="b">
        <v>0</v>
      </c>
      <c r="BE74" s="76" t="b">
        <v>0</v>
      </c>
      <c r="BF74" s="76" t="b">
        <v>1</v>
      </c>
      <c r="BG74" s="76" t="b">
        <v>0</v>
      </c>
      <c r="BH74" s="76" t="b">
        <v>0</v>
      </c>
      <c r="BI74" s="82" t="str">
        <f>HYPERLINK("https://pbs.twimg.com/profile_banners/23300044/1485671180")</f>
        <v>https://pbs.twimg.com/profile_banners/23300044/1485671180</v>
      </c>
      <c r="BJ74" s="76"/>
      <c r="BK74" s="76" t="s">
        <v>2092</v>
      </c>
      <c r="BL74" s="76" t="b">
        <v>0</v>
      </c>
      <c r="BM74" s="76"/>
      <c r="BN74" s="76" t="s">
        <v>65</v>
      </c>
      <c r="BO74" s="76" t="s">
        <v>2094</v>
      </c>
      <c r="BP74" s="82" t="str">
        <f>HYPERLINK("https://twitter.com/lecheconcoffee")</f>
        <v>https://twitter.com/lecheconcoffee</v>
      </c>
      <c r="BQ74" s="76" t="str">
        <f>REPLACE(INDEX(GroupVertices[Group],MATCH("~"&amp;Vertices[[#This Row],[Vertex]],GroupVertices[Vertex],0)),1,1,"")</f>
        <v>2</v>
      </c>
      <c r="BR74" s="45"/>
      <c r="BS74" s="46"/>
      <c r="BT74" s="45"/>
      <c r="BU74" s="46"/>
      <c r="BV74" s="45"/>
      <c r="BW74" s="46"/>
      <c r="BX74" s="45"/>
      <c r="BY74" s="46"/>
      <c r="BZ74" s="45"/>
      <c r="CA74" s="45"/>
      <c r="CB74" s="45"/>
      <c r="CC74" s="45"/>
      <c r="CD74" s="45"/>
      <c r="CE74" s="45"/>
      <c r="CF74" s="45"/>
      <c r="CG74" s="45"/>
      <c r="CH74" s="45"/>
      <c r="CI74" s="45"/>
      <c r="CJ74" s="45"/>
      <c r="CK74" s="2"/>
    </row>
    <row r="75" spans="1:89" ht="41.45" customHeight="1">
      <c r="A75" s="61" t="s">
        <v>247</v>
      </c>
      <c r="C75" s="62"/>
      <c r="D75" s="62" t="s">
        <v>64</v>
      </c>
      <c r="E75" s="63">
        <v>70</v>
      </c>
      <c r="F75" s="65"/>
      <c r="G75" s="101" t="str">
        <f>HYPERLINK("https://pbs.twimg.com/profile_images/1740133479357227008/M7cnTK0g_normal.jpg")</f>
        <v>https://pbs.twimg.com/profile_images/1740133479357227008/M7cnTK0g_normal.jpg</v>
      </c>
      <c r="H75" s="62"/>
      <c r="I75" s="66" t="s">
        <v>247</v>
      </c>
      <c r="J75" s="67"/>
      <c r="K75" s="67" t="s">
        <v>75</v>
      </c>
      <c r="L75" s="66" t="s">
        <v>2149</v>
      </c>
      <c r="M75" s="70">
        <v>2000.6</v>
      </c>
      <c r="N75" s="71">
        <v>691.3887329101562</v>
      </c>
      <c r="O75" s="71">
        <v>5866.3486328125</v>
      </c>
      <c r="P75" s="72"/>
      <c r="Q75" s="73"/>
      <c r="R75" s="73"/>
      <c r="S75" s="87"/>
      <c r="T75" s="45">
        <v>1</v>
      </c>
      <c r="U75" s="45">
        <v>1</v>
      </c>
      <c r="V75" s="46">
        <v>0</v>
      </c>
      <c r="W75" s="46">
        <v>0</v>
      </c>
      <c r="X75" s="46">
        <v>0</v>
      </c>
      <c r="Y75" s="46">
        <v>0.004673</v>
      </c>
      <c r="Z75" s="46">
        <v>0</v>
      </c>
      <c r="AA75" s="46">
        <v>0</v>
      </c>
      <c r="AB75" s="68">
        <v>58</v>
      </c>
      <c r="AC75" s="68"/>
      <c r="AD75" s="69"/>
      <c r="AE75" s="76" t="s">
        <v>1382</v>
      </c>
      <c r="AF75" s="80" t="s">
        <v>1569</v>
      </c>
      <c r="AG75" s="76">
        <v>1646</v>
      </c>
      <c r="AH75" s="76">
        <v>1060</v>
      </c>
      <c r="AI75" s="76">
        <v>47104</v>
      </c>
      <c r="AJ75" s="76">
        <v>27</v>
      </c>
      <c r="AK75" s="76">
        <v>171397</v>
      </c>
      <c r="AL75" s="76">
        <v>5984</v>
      </c>
      <c r="AM75" s="76" t="b">
        <v>0</v>
      </c>
      <c r="AN75" s="78">
        <v>40578.05979166667</v>
      </c>
      <c r="AO75" s="76" t="s">
        <v>852</v>
      </c>
      <c r="AP75" s="76" t="s">
        <v>1800</v>
      </c>
      <c r="AQ75" s="76"/>
      <c r="AR75" s="76"/>
      <c r="AS75" s="76"/>
      <c r="AT75" s="76"/>
      <c r="AU75" s="76"/>
      <c r="AV75" s="76"/>
      <c r="AW75" s="76">
        <v>1.63119097423085E+18</v>
      </c>
      <c r="AX75" s="76"/>
      <c r="AY75" s="76" t="b">
        <v>0</v>
      </c>
      <c r="AZ75" s="76"/>
      <c r="BA75" s="76"/>
      <c r="BB75" s="76" t="b">
        <v>1</v>
      </c>
      <c r="BC75" s="76" t="b">
        <v>0</v>
      </c>
      <c r="BD75" s="76" t="b">
        <v>1</v>
      </c>
      <c r="BE75" s="76" t="b">
        <v>0</v>
      </c>
      <c r="BF75" s="76" t="b">
        <v>1</v>
      </c>
      <c r="BG75" s="76" t="b">
        <v>0</v>
      </c>
      <c r="BH75" s="76" t="b">
        <v>0</v>
      </c>
      <c r="BI75" s="82" t="str">
        <f>HYPERLINK("https://pbs.twimg.com/profile_banners/247073825/1658700210")</f>
        <v>https://pbs.twimg.com/profile_banners/247073825/1658700210</v>
      </c>
      <c r="BJ75" s="76"/>
      <c r="BK75" s="76" t="s">
        <v>2092</v>
      </c>
      <c r="BL75" s="76" t="b">
        <v>0</v>
      </c>
      <c r="BM75" s="76"/>
      <c r="BN75" s="76" t="s">
        <v>66</v>
      </c>
      <c r="BO75" s="76" t="s">
        <v>2094</v>
      </c>
      <c r="BP75" s="82" t="str">
        <f>HYPERLINK("https://twitter.com/samfacto")</f>
        <v>https://twitter.com/samfacto</v>
      </c>
      <c r="BQ75" s="76" t="str">
        <f>REPLACE(INDEX(GroupVertices[Group],MATCH("~"&amp;Vertices[[#This Row],[Vertex]],GroupVertices[Vertex],0)),1,1,"")</f>
        <v>1</v>
      </c>
      <c r="BR75" s="45">
        <v>0</v>
      </c>
      <c r="BS75" s="46">
        <v>0</v>
      </c>
      <c r="BT75" s="45">
        <v>2</v>
      </c>
      <c r="BU75" s="46">
        <v>11.764705882352942</v>
      </c>
      <c r="BV75" s="45">
        <v>0</v>
      </c>
      <c r="BW75" s="46">
        <v>0</v>
      </c>
      <c r="BX75" s="45">
        <v>7</v>
      </c>
      <c r="BY75" s="46">
        <v>41.1764705882353</v>
      </c>
      <c r="BZ75" s="45">
        <v>17</v>
      </c>
      <c r="CA75" s="45"/>
      <c r="CB75" s="45"/>
      <c r="CC75" s="45"/>
      <c r="CD75" s="45"/>
      <c r="CE75" s="45"/>
      <c r="CF75" s="45"/>
      <c r="CG75" s="114" t="s">
        <v>11310</v>
      </c>
      <c r="CH75" s="114" t="s">
        <v>11310</v>
      </c>
      <c r="CI75" s="114" t="s">
        <v>11439</v>
      </c>
      <c r="CJ75" s="114" t="s">
        <v>11439</v>
      </c>
      <c r="CK75" s="2"/>
    </row>
    <row r="76" spans="1:89" ht="41.45" customHeight="1">
      <c r="A76" s="61" t="s">
        <v>248</v>
      </c>
      <c r="C76" s="62"/>
      <c r="D76" s="62" t="s">
        <v>64</v>
      </c>
      <c r="E76" s="63">
        <v>70</v>
      </c>
      <c r="F76" s="65"/>
      <c r="G76" s="101" t="str">
        <f>HYPERLINK("https://pbs.twimg.com/profile_images/1518854310943019008/8GMRH-qX_normal.jpg")</f>
        <v>https://pbs.twimg.com/profile_images/1518854310943019008/8GMRH-qX_normal.jpg</v>
      </c>
      <c r="H76" s="62"/>
      <c r="I76" s="66" t="s">
        <v>248</v>
      </c>
      <c r="J76" s="67"/>
      <c r="K76" s="67" t="s">
        <v>75</v>
      </c>
      <c r="L76" s="66" t="s">
        <v>2150</v>
      </c>
      <c r="M76" s="70">
        <v>1</v>
      </c>
      <c r="N76" s="71">
        <v>8987.244140625</v>
      </c>
      <c r="O76" s="71">
        <v>6513.9658203125</v>
      </c>
      <c r="P76" s="72"/>
      <c r="Q76" s="73"/>
      <c r="R76" s="73"/>
      <c r="S76" s="87"/>
      <c r="T76" s="45">
        <v>0</v>
      </c>
      <c r="U76" s="45">
        <v>1</v>
      </c>
      <c r="V76" s="46">
        <v>0</v>
      </c>
      <c r="W76" s="46">
        <v>0.004695</v>
      </c>
      <c r="X76" s="46">
        <v>0</v>
      </c>
      <c r="Y76" s="46">
        <v>0.004673</v>
      </c>
      <c r="Z76" s="46">
        <v>0</v>
      </c>
      <c r="AA76" s="46">
        <v>0</v>
      </c>
      <c r="AB76" s="68">
        <v>59</v>
      </c>
      <c r="AC76" s="68"/>
      <c r="AD76" s="69"/>
      <c r="AE76" s="76" t="s">
        <v>1383</v>
      </c>
      <c r="AF76" s="80" t="s">
        <v>1247</v>
      </c>
      <c r="AG76" s="76">
        <v>6865</v>
      </c>
      <c r="AH76" s="76">
        <v>6152</v>
      </c>
      <c r="AI76" s="76">
        <v>134103</v>
      </c>
      <c r="AJ76" s="76">
        <v>33</v>
      </c>
      <c r="AK76" s="76">
        <v>139779</v>
      </c>
      <c r="AL76" s="76">
        <v>2473</v>
      </c>
      <c r="AM76" s="76" t="b">
        <v>0</v>
      </c>
      <c r="AN76" s="78">
        <v>44218.12734953704</v>
      </c>
      <c r="AO76" s="76" t="s">
        <v>1676</v>
      </c>
      <c r="AP76" s="76" t="s">
        <v>1801</v>
      </c>
      <c r="AQ76" s="76"/>
      <c r="AR76" s="76"/>
      <c r="AS76" s="76"/>
      <c r="AT76" s="76"/>
      <c r="AU76" s="76"/>
      <c r="AV76" s="76"/>
      <c r="AW76" s="76"/>
      <c r="AX76" s="76"/>
      <c r="AY76" s="76" t="b">
        <v>1</v>
      </c>
      <c r="AZ76" s="76"/>
      <c r="BA76" s="76"/>
      <c r="BB76" s="76" t="b">
        <v>0</v>
      </c>
      <c r="BC76" s="76" t="b">
        <v>1</v>
      </c>
      <c r="BD76" s="76" t="b">
        <v>1</v>
      </c>
      <c r="BE76" s="76" t="b">
        <v>0</v>
      </c>
      <c r="BF76" s="76" t="b">
        <v>0</v>
      </c>
      <c r="BG76" s="76" t="b">
        <v>0</v>
      </c>
      <c r="BH76" s="76" t="b">
        <v>0</v>
      </c>
      <c r="BI76" s="76"/>
      <c r="BJ76" s="76"/>
      <c r="BK76" s="76" t="s">
        <v>2092</v>
      </c>
      <c r="BL76" s="76" t="b">
        <v>0</v>
      </c>
      <c r="BM76" s="76"/>
      <c r="BN76" s="76" t="s">
        <v>66</v>
      </c>
      <c r="BO76" s="76" t="s">
        <v>2094</v>
      </c>
      <c r="BP76" s="82" t="str">
        <f>HYPERLINK("https://twitter.com/robertjkingsbu1")</f>
        <v>https://twitter.com/robertjkingsbu1</v>
      </c>
      <c r="BQ76" s="76" t="str">
        <f>REPLACE(INDEX(GroupVertices[Group],MATCH("~"&amp;Vertices[[#This Row],[Vertex]],GroupVertices[Vertex],0)),1,1,"")</f>
        <v>58</v>
      </c>
      <c r="BR76" s="45">
        <v>0</v>
      </c>
      <c r="BS76" s="46">
        <v>0</v>
      </c>
      <c r="BT76" s="45">
        <v>2</v>
      </c>
      <c r="BU76" s="46">
        <v>11.764705882352942</v>
      </c>
      <c r="BV76" s="45">
        <v>0</v>
      </c>
      <c r="BW76" s="46">
        <v>0</v>
      </c>
      <c r="BX76" s="45">
        <v>12</v>
      </c>
      <c r="BY76" s="46">
        <v>70.58823529411765</v>
      </c>
      <c r="BZ76" s="45">
        <v>17</v>
      </c>
      <c r="CA76" s="45" t="s">
        <v>11035</v>
      </c>
      <c r="CB76" s="45" t="s">
        <v>11035</v>
      </c>
      <c r="CC76" s="45" t="s">
        <v>603</v>
      </c>
      <c r="CD76" s="45" t="s">
        <v>603</v>
      </c>
      <c r="CE76" s="45"/>
      <c r="CF76" s="45"/>
      <c r="CG76" s="114" t="s">
        <v>11311</v>
      </c>
      <c r="CH76" s="114" t="s">
        <v>11311</v>
      </c>
      <c r="CI76" s="114" t="s">
        <v>11440</v>
      </c>
      <c r="CJ76" s="114" t="s">
        <v>11440</v>
      </c>
      <c r="CK76" s="2"/>
    </row>
    <row r="77" spans="1:89" ht="41.45" customHeight="1">
      <c r="A77" s="61" t="s">
        <v>364</v>
      </c>
      <c r="C77" s="62"/>
      <c r="D77" s="62" t="s">
        <v>64</v>
      </c>
      <c r="E77" s="63">
        <v>70</v>
      </c>
      <c r="F77" s="65"/>
      <c r="G77" s="101" t="str">
        <f>HYPERLINK("https://pbs.twimg.com/profile_images/966372680306868224/60wfGe9e_normal.jpg")</f>
        <v>https://pbs.twimg.com/profile_images/966372680306868224/60wfGe9e_normal.jpg</v>
      </c>
      <c r="H77" s="62"/>
      <c r="I77" s="66" t="s">
        <v>364</v>
      </c>
      <c r="J77" s="67"/>
      <c r="K77" s="67" t="s">
        <v>75</v>
      </c>
      <c r="L77" s="66" t="s">
        <v>2151</v>
      </c>
      <c r="M77" s="70">
        <v>2000.6</v>
      </c>
      <c r="N77" s="71">
        <v>8987.244140625</v>
      </c>
      <c r="O77" s="71">
        <v>5853.7490234375</v>
      </c>
      <c r="P77" s="72"/>
      <c r="Q77" s="73"/>
      <c r="R77" s="73"/>
      <c r="S77" s="87"/>
      <c r="T77" s="45">
        <v>1</v>
      </c>
      <c r="U77" s="45">
        <v>0</v>
      </c>
      <c r="V77" s="46">
        <v>0</v>
      </c>
      <c r="W77" s="46">
        <v>0.004695</v>
      </c>
      <c r="X77" s="46">
        <v>0</v>
      </c>
      <c r="Y77" s="46">
        <v>0.004673</v>
      </c>
      <c r="Z77" s="46">
        <v>0</v>
      </c>
      <c r="AA77" s="46">
        <v>0</v>
      </c>
      <c r="AB77" s="68">
        <v>60</v>
      </c>
      <c r="AC77" s="68"/>
      <c r="AD77" s="69"/>
      <c r="AE77" s="76" t="s">
        <v>1384</v>
      </c>
      <c r="AF77" s="80" t="s">
        <v>1570</v>
      </c>
      <c r="AG77" s="76">
        <v>3072757</v>
      </c>
      <c r="AH77" s="76">
        <v>10596</v>
      </c>
      <c r="AI77" s="76">
        <v>625330</v>
      </c>
      <c r="AJ77" s="76">
        <v>22064</v>
      </c>
      <c r="AK77" s="76">
        <v>1861</v>
      </c>
      <c r="AL77" s="76">
        <v>482643</v>
      </c>
      <c r="AM77" s="76" t="b">
        <v>0</v>
      </c>
      <c r="AN77" s="78">
        <v>39770.82402777778</v>
      </c>
      <c r="AO77" s="76" t="s">
        <v>1674</v>
      </c>
      <c r="AP77" s="76" t="s">
        <v>1802</v>
      </c>
      <c r="AQ77" s="82" t="str">
        <f>HYPERLINK("https://t.co/MwyanWdKnl")</f>
        <v>https://t.co/MwyanWdKnl</v>
      </c>
      <c r="AR77" s="82" t="str">
        <f>HYPERLINK("http://www.nypost.com")</f>
        <v>http://www.nypost.com</v>
      </c>
      <c r="AS77" s="76" t="s">
        <v>603</v>
      </c>
      <c r="AT77" s="76"/>
      <c r="AU77" s="76"/>
      <c r="AV77" s="76"/>
      <c r="AW77" s="76"/>
      <c r="AX77" s="82" t="str">
        <f>HYPERLINK("https://t.co/MwyanWdKnl")</f>
        <v>https://t.co/MwyanWdKnl</v>
      </c>
      <c r="AY77" s="76" t="b">
        <v>1</v>
      </c>
      <c r="AZ77" s="76"/>
      <c r="BA77" s="76"/>
      <c r="BB77" s="76" t="b">
        <v>1</v>
      </c>
      <c r="BC77" s="76" t="b">
        <v>1</v>
      </c>
      <c r="BD77" s="76" t="b">
        <v>0</v>
      </c>
      <c r="BE77" s="76" t="b">
        <v>0</v>
      </c>
      <c r="BF77" s="76" t="b">
        <v>1</v>
      </c>
      <c r="BG77" s="76" t="b">
        <v>0</v>
      </c>
      <c r="BH77" s="76" t="b">
        <v>0</v>
      </c>
      <c r="BI77" s="82" t="str">
        <f>HYPERLINK("https://pbs.twimg.com/profile_banners/17469289/1444326181")</f>
        <v>https://pbs.twimg.com/profile_banners/17469289/1444326181</v>
      </c>
      <c r="BJ77" s="76"/>
      <c r="BK77" s="76" t="s">
        <v>2092</v>
      </c>
      <c r="BL77" s="76" t="b">
        <v>0</v>
      </c>
      <c r="BM77" s="76"/>
      <c r="BN77" s="76" t="s">
        <v>65</v>
      </c>
      <c r="BO77" s="76" t="s">
        <v>2094</v>
      </c>
      <c r="BP77" s="82" t="str">
        <f>HYPERLINK("https://twitter.com/nypost")</f>
        <v>https://twitter.com/nypost</v>
      </c>
      <c r="BQ77" s="76" t="str">
        <f>REPLACE(INDEX(GroupVertices[Group],MATCH("~"&amp;Vertices[[#This Row],[Vertex]],GroupVertices[Vertex],0)),1,1,"")</f>
        <v>58</v>
      </c>
      <c r="BR77" s="45"/>
      <c r="BS77" s="46"/>
      <c r="BT77" s="45"/>
      <c r="BU77" s="46"/>
      <c r="BV77" s="45"/>
      <c r="BW77" s="46"/>
      <c r="BX77" s="45"/>
      <c r="BY77" s="46"/>
      <c r="BZ77" s="45"/>
      <c r="CA77" s="45"/>
      <c r="CB77" s="45"/>
      <c r="CC77" s="45"/>
      <c r="CD77" s="45"/>
      <c r="CE77" s="45"/>
      <c r="CF77" s="45"/>
      <c r="CG77" s="45"/>
      <c r="CH77" s="45"/>
      <c r="CI77" s="45"/>
      <c r="CJ77" s="45"/>
      <c r="CK77" s="2"/>
    </row>
    <row r="78" spans="1:89" ht="41.45" customHeight="1">
      <c r="A78" s="61" t="s">
        <v>249</v>
      </c>
      <c r="C78" s="62"/>
      <c r="D78" s="62" t="s">
        <v>64</v>
      </c>
      <c r="E78" s="63">
        <v>70</v>
      </c>
      <c r="F78" s="65"/>
      <c r="G78" s="101" t="str">
        <f>HYPERLINK("https://pbs.twimg.com/profile_images/446227606/DSC02118_normal.JPG")</f>
        <v>https://pbs.twimg.com/profile_images/446227606/DSC02118_normal.JPG</v>
      </c>
      <c r="H78" s="62"/>
      <c r="I78" s="66" t="s">
        <v>249</v>
      </c>
      <c r="J78" s="67"/>
      <c r="K78" s="67" t="s">
        <v>75</v>
      </c>
      <c r="L78" s="66" t="s">
        <v>2152</v>
      </c>
      <c r="M78" s="70">
        <v>2000.6</v>
      </c>
      <c r="N78" s="71">
        <v>1134.3516845703125</v>
      </c>
      <c r="O78" s="71">
        <v>4959.181640625</v>
      </c>
      <c r="P78" s="72"/>
      <c r="Q78" s="73"/>
      <c r="R78" s="73"/>
      <c r="S78" s="87"/>
      <c r="T78" s="45">
        <v>1</v>
      </c>
      <c r="U78" s="45">
        <v>1</v>
      </c>
      <c r="V78" s="46">
        <v>0</v>
      </c>
      <c r="W78" s="46">
        <v>0</v>
      </c>
      <c r="X78" s="46">
        <v>0</v>
      </c>
      <c r="Y78" s="46">
        <v>0.004673</v>
      </c>
      <c r="Z78" s="46">
        <v>0</v>
      </c>
      <c r="AA78" s="46">
        <v>0</v>
      </c>
      <c r="AB78" s="68">
        <v>61</v>
      </c>
      <c r="AC78" s="68"/>
      <c r="AD78" s="69"/>
      <c r="AE78" s="76" t="s">
        <v>1385</v>
      </c>
      <c r="AF78" s="80" t="s">
        <v>1571</v>
      </c>
      <c r="AG78" s="76">
        <v>8652</v>
      </c>
      <c r="AH78" s="76">
        <v>203</v>
      </c>
      <c r="AI78" s="76">
        <v>178190</v>
      </c>
      <c r="AJ78" s="76">
        <v>413</v>
      </c>
      <c r="AK78" s="76">
        <v>0</v>
      </c>
      <c r="AL78" s="76">
        <v>681</v>
      </c>
      <c r="AM78" s="76" t="b">
        <v>0</v>
      </c>
      <c r="AN78" s="78">
        <v>40030.74435185185</v>
      </c>
      <c r="AO78" s="76" t="s">
        <v>1677</v>
      </c>
      <c r="AP78" s="76" t="s">
        <v>1803</v>
      </c>
      <c r="AQ78" s="82" t="str">
        <f>HYPERLINK("http://t.co/Dm4ujCdhKy")</f>
        <v>http://t.co/Dm4ujCdhKy</v>
      </c>
      <c r="AR78" s="82" t="str">
        <f>HYPERLINK("http://www.BreakingPDXNews.com")</f>
        <v>http://www.BreakingPDXNews.com</v>
      </c>
      <c r="AS78" s="76" t="s">
        <v>1980</v>
      </c>
      <c r="AT78" s="76"/>
      <c r="AU78" s="76"/>
      <c r="AV78" s="76"/>
      <c r="AW78" s="76"/>
      <c r="AX78" s="82" t="str">
        <f>HYPERLINK("http://t.co/Dm4ujCdhKy")</f>
        <v>http://t.co/Dm4ujCdhKy</v>
      </c>
      <c r="AY78" s="76" t="b">
        <v>0</v>
      </c>
      <c r="AZ78" s="76"/>
      <c r="BA78" s="76"/>
      <c r="BB78" s="76" t="b">
        <v>0</v>
      </c>
      <c r="BC78" s="76" t="b">
        <v>1</v>
      </c>
      <c r="BD78" s="76" t="b">
        <v>0</v>
      </c>
      <c r="BE78" s="76" t="b">
        <v>0</v>
      </c>
      <c r="BF78" s="76" t="b">
        <v>0</v>
      </c>
      <c r="BG78" s="76" t="b">
        <v>0</v>
      </c>
      <c r="BH78" s="76" t="b">
        <v>0</v>
      </c>
      <c r="BI78" s="76"/>
      <c r="BJ78" s="76"/>
      <c r="BK78" s="76" t="s">
        <v>2092</v>
      </c>
      <c r="BL78" s="76" t="b">
        <v>0</v>
      </c>
      <c r="BM78" s="76"/>
      <c r="BN78" s="76" t="s">
        <v>66</v>
      </c>
      <c r="BO78" s="76" t="s">
        <v>2094</v>
      </c>
      <c r="BP78" s="82" t="str">
        <f>HYPERLINK("https://twitter.com/breakingpdxnews")</f>
        <v>https://twitter.com/breakingpdxnews</v>
      </c>
      <c r="BQ78" s="76" t="str">
        <f>REPLACE(INDEX(GroupVertices[Group],MATCH("~"&amp;Vertices[[#This Row],[Vertex]],GroupVertices[Vertex],0)),1,1,"")</f>
        <v>1</v>
      </c>
      <c r="BR78" s="45">
        <v>0</v>
      </c>
      <c r="BS78" s="46">
        <v>0</v>
      </c>
      <c r="BT78" s="45">
        <v>1</v>
      </c>
      <c r="BU78" s="46">
        <v>4.3478260869565215</v>
      </c>
      <c r="BV78" s="45">
        <v>0</v>
      </c>
      <c r="BW78" s="46">
        <v>0</v>
      </c>
      <c r="BX78" s="45">
        <v>17</v>
      </c>
      <c r="BY78" s="46">
        <v>73.91304347826087</v>
      </c>
      <c r="BZ78" s="45">
        <v>23</v>
      </c>
      <c r="CA78" s="45" t="s">
        <v>11001</v>
      </c>
      <c r="CB78" s="45" t="s">
        <v>11001</v>
      </c>
      <c r="CC78" s="45" t="s">
        <v>604</v>
      </c>
      <c r="CD78" s="45" t="s">
        <v>604</v>
      </c>
      <c r="CE78" s="45"/>
      <c r="CF78" s="45"/>
      <c r="CG78" s="114" t="s">
        <v>11312</v>
      </c>
      <c r="CH78" s="114" t="s">
        <v>11312</v>
      </c>
      <c r="CI78" s="114" t="s">
        <v>11441</v>
      </c>
      <c r="CJ78" s="114" t="s">
        <v>11441</v>
      </c>
      <c r="CK78" s="2"/>
    </row>
    <row r="79" spans="1:89" ht="41.45" customHeight="1">
      <c r="A79" s="61" t="s">
        <v>365</v>
      </c>
      <c r="C79" s="62"/>
      <c r="D79" s="62" t="s">
        <v>64</v>
      </c>
      <c r="E79" s="63">
        <v>70</v>
      </c>
      <c r="F79" s="65"/>
      <c r="G79" s="101" t="str">
        <f>HYPERLINK("https://pbs.twimg.com/profile_images/1683173596984909825/4XrbUXi0_normal.jpg")</f>
        <v>https://pbs.twimg.com/profile_images/1683173596984909825/4XrbUXi0_normal.jpg</v>
      </c>
      <c r="H79" s="62"/>
      <c r="I79" s="66" t="s">
        <v>365</v>
      </c>
      <c r="J79" s="67"/>
      <c r="K79" s="67" t="s">
        <v>75</v>
      </c>
      <c r="L79" s="66" t="s">
        <v>2154</v>
      </c>
      <c r="M79" s="70">
        <v>2000.6</v>
      </c>
      <c r="N79" s="71">
        <v>5060.79833984375</v>
      </c>
      <c r="O79" s="71">
        <v>9546.6767578125</v>
      </c>
      <c r="P79" s="72"/>
      <c r="Q79" s="73"/>
      <c r="R79" s="73"/>
      <c r="S79" s="87"/>
      <c r="T79" s="45">
        <v>1</v>
      </c>
      <c r="U79" s="45">
        <v>0</v>
      </c>
      <c r="V79" s="46">
        <v>0</v>
      </c>
      <c r="W79" s="46">
        <v>0.00626</v>
      </c>
      <c r="X79" s="46">
        <v>0</v>
      </c>
      <c r="Y79" s="46">
        <v>0.004368</v>
      </c>
      <c r="Z79" s="46">
        <v>0</v>
      </c>
      <c r="AA79" s="46">
        <v>0</v>
      </c>
      <c r="AB79" s="68">
        <v>63</v>
      </c>
      <c r="AC79" s="68"/>
      <c r="AD79" s="69"/>
      <c r="AE79" s="76" t="s">
        <v>1387</v>
      </c>
      <c r="AF79" s="80" t="s">
        <v>1573</v>
      </c>
      <c r="AG79" s="76">
        <v>26414</v>
      </c>
      <c r="AH79" s="76">
        <v>4564</v>
      </c>
      <c r="AI79" s="76">
        <v>91433</v>
      </c>
      <c r="AJ79" s="76">
        <v>478</v>
      </c>
      <c r="AK79" s="76">
        <v>1232</v>
      </c>
      <c r="AL79" s="76">
        <v>7141</v>
      </c>
      <c r="AM79" s="76" t="b">
        <v>0</v>
      </c>
      <c r="AN79" s="78">
        <v>39890.172476851854</v>
      </c>
      <c r="AO79" s="76" t="s">
        <v>1678</v>
      </c>
      <c r="AP79" s="76" t="s">
        <v>1805</v>
      </c>
      <c r="AQ79" s="82" t="str">
        <f>HYPERLINK("https://t.co/vZDQKIN750")</f>
        <v>https://t.co/vZDQKIN750</v>
      </c>
      <c r="AR79" s="82" t="str">
        <f>HYPERLINK("https://www.oregonlive.com/ducks/")</f>
        <v>https://www.oregonlive.com/ducks/</v>
      </c>
      <c r="AS79" s="76" t="s">
        <v>1982</v>
      </c>
      <c r="AT79" s="76"/>
      <c r="AU79" s="76"/>
      <c r="AV79" s="76"/>
      <c r="AW79" s="76">
        <v>1.6827534294484E+18</v>
      </c>
      <c r="AX79" s="82" t="str">
        <f>HYPERLINK("https://t.co/vZDQKIN750")</f>
        <v>https://t.co/vZDQKIN750</v>
      </c>
      <c r="AY79" s="76" t="b">
        <v>1</v>
      </c>
      <c r="AZ79" s="76"/>
      <c r="BA79" s="76"/>
      <c r="BB79" s="76" t="b">
        <v>1</v>
      </c>
      <c r="BC79" s="76" t="b">
        <v>0</v>
      </c>
      <c r="BD79" s="76" t="b">
        <v>0</v>
      </c>
      <c r="BE79" s="76" t="b">
        <v>0</v>
      </c>
      <c r="BF79" s="76" t="b">
        <v>1</v>
      </c>
      <c r="BG79" s="76" t="b">
        <v>0</v>
      </c>
      <c r="BH79" s="76" t="b">
        <v>0</v>
      </c>
      <c r="BI79" s="82" t="str">
        <f>HYPERLINK("https://pbs.twimg.com/profile_banners/25025508/1641431803")</f>
        <v>https://pbs.twimg.com/profile_banners/25025508/1641431803</v>
      </c>
      <c r="BJ79" s="76"/>
      <c r="BK79" s="76" t="s">
        <v>2092</v>
      </c>
      <c r="BL79" s="76" t="b">
        <v>0</v>
      </c>
      <c r="BM79" s="76"/>
      <c r="BN79" s="76" t="s">
        <v>65</v>
      </c>
      <c r="BO79" s="76" t="s">
        <v>2094</v>
      </c>
      <c r="BP79" s="82" t="str">
        <f>HYPERLINK("https://twitter.com/jamescrepea")</f>
        <v>https://twitter.com/jamescrepea</v>
      </c>
      <c r="BQ79" s="76" t="str">
        <f>REPLACE(INDEX(GroupVertices[Group],MATCH("~"&amp;Vertices[[#This Row],[Vertex]],GroupVertices[Vertex],0)),1,1,"")</f>
        <v>20</v>
      </c>
      <c r="BR79" s="45"/>
      <c r="BS79" s="46"/>
      <c r="BT79" s="45"/>
      <c r="BU79" s="46"/>
      <c r="BV79" s="45"/>
      <c r="BW79" s="46"/>
      <c r="BX79" s="45"/>
      <c r="BY79" s="46"/>
      <c r="BZ79" s="45"/>
      <c r="CA79" s="45"/>
      <c r="CB79" s="45"/>
      <c r="CC79" s="45"/>
      <c r="CD79" s="45"/>
      <c r="CE79" s="45"/>
      <c r="CF79" s="45"/>
      <c r="CG79" s="45"/>
      <c r="CH79" s="45"/>
      <c r="CI79" s="45"/>
      <c r="CJ79" s="45"/>
      <c r="CK79" s="2"/>
    </row>
    <row r="80" spans="1:89" ht="41.45" customHeight="1">
      <c r="A80" s="61" t="s">
        <v>366</v>
      </c>
      <c r="C80" s="62"/>
      <c r="D80" s="62" t="s">
        <v>64</v>
      </c>
      <c r="E80" s="63">
        <v>70</v>
      </c>
      <c r="F80" s="65"/>
      <c r="G80" s="101" t="str">
        <f>HYPERLINK("https://pbs.twimg.com/profile_images/378800000031951111/2ef5bd2f46abc48a923695007f53f545_normal.jpeg")</f>
        <v>https://pbs.twimg.com/profile_images/378800000031951111/2ef5bd2f46abc48a923695007f53f545_normal.jpeg</v>
      </c>
      <c r="H80" s="62"/>
      <c r="I80" s="66" t="s">
        <v>366</v>
      </c>
      <c r="J80" s="67"/>
      <c r="K80" s="67" t="s">
        <v>75</v>
      </c>
      <c r="L80" s="66" t="s">
        <v>2155</v>
      </c>
      <c r="M80" s="70">
        <v>2000.6</v>
      </c>
      <c r="N80" s="71">
        <v>4663.37109375</v>
      </c>
      <c r="O80" s="71">
        <v>8742.8251953125</v>
      </c>
      <c r="P80" s="72"/>
      <c r="Q80" s="73"/>
      <c r="R80" s="73"/>
      <c r="S80" s="87"/>
      <c r="T80" s="45">
        <v>1</v>
      </c>
      <c r="U80" s="45">
        <v>0</v>
      </c>
      <c r="V80" s="46">
        <v>0</v>
      </c>
      <c r="W80" s="46">
        <v>0.00626</v>
      </c>
      <c r="X80" s="46">
        <v>0</v>
      </c>
      <c r="Y80" s="46">
        <v>0.004368</v>
      </c>
      <c r="Z80" s="46">
        <v>0</v>
      </c>
      <c r="AA80" s="46">
        <v>0</v>
      </c>
      <c r="AB80" s="68">
        <v>64</v>
      </c>
      <c r="AC80" s="68"/>
      <c r="AD80" s="69"/>
      <c r="AE80" s="76" t="s">
        <v>1388</v>
      </c>
      <c r="AF80" s="80" t="s">
        <v>1161</v>
      </c>
      <c r="AG80" s="76">
        <v>63</v>
      </c>
      <c r="AH80" s="76">
        <v>266</v>
      </c>
      <c r="AI80" s="76">
        <v>10261</v>
      </c>
      <c r="AJ80" s="76">
        <v>1</v>
      </c>
      <c r="AK80" s="76">
        <v>9898</v>
      </c>
      <c r="AL80" s="76">
        <v>532</v>
      </c>
      <c r="AM80" s="76" t="b">
        <v>0</v>
      </c>
      <c r="AN80" s="78">
        <v>39899.64655092593</v>
      </c>
      <c r="AO80" s="76"/>
      <c r="AP80" s="76" t="s">
        <v>1806</v>
      </c>
      <c r="AQ80" s="76"/>
      <c r="AR80" s="76"/>
      <c r="AS80" s="76"/>
      <c r="AT80" s="76"/>
      <c r="AU80" s="76"/>
      <c r="AV80" s="76"/>
      <c r="AW80" s="76"/>
      <c r="AX80" s="76"/>
      <c r="AY80" s="76" t="b">
        <v>0</v>
      </c>
      <c r="AZ80" s="76"/>
      <c r="BA80" s="76"/>
      <c r="BB80" s="76" t="b">
        <v>0</v>
      </c>
      <c r="BC80" s="76" t="b">
        <v>1</v>
      </c>
      <c r="BD80" s="76" t="b">
        <v>1</v>
      </c>
      <c r="BE80" s="76" t="b">
        <v>0</v>
      </c>
      <c r="BF80" s="76" t="b">
        <v>1</v>
      </c>
      <c r="BG80" s="76" t="b">
        <v>0</v>
      </c>
      <c r="BH80" s="76" t="b">
        <v>0</v>
      </c>
      <c r="BI80" s="82" t="str">
        <f>HYPERLINK("https://pbs.twimg.com/profile_banners/27026887/1599145032")</f>
        <v>https://pbs.twimg.com/profile_banners/27026887/1599145032</v>
      </c>
      <c r="BJ80" s="76"/>
      <c r="BK80" s="76" t="s">
        <v>2092</v>
      </c>
      <c r="BL80" s="76" t="b">
        <v>0</v>
      </c>
      <c r="BM80" s="76"/>
      <c r="BN80" s="76" t="s">
        <v>65</v>
      </c>
      <c r="BO80" s="76" t="s">
        <v>2094</v>
      </c>
      <c r="BP80" s="82" t="str">
        <f>HYPERLINK("https://twitter.com/thavyxay")</f>
        <v>https://twitter.com/thavyxay</v>
      </c>
      <c r="BQ80" s="76" t="str">
        <f>REPLACE(INDEX(GroupVertices[Group],MATCH("~"&amp;Vertices[[#This Row],[Vertex]],GroupVertices[Vertex],0)),1,1,"")</f>
        <v>20</v>
      </c>
      <c r="BR80" s="45"/>
      <c r="BS80" s="46"/>
      <c r="BT80" s="45"/>
      <c r="BU80" s="46"/>
      <c r="BV80" s="45"/>
      <c r="BW80" s="46"/>
      <c r="BX80" s="45"/>
      <c r="BY80" s="46"/>
      <c r="BZ80" s="45"/>
      <c r="CA80" s="45"/>
      <c r="CB80" s="45"/>
      <c r="CC80" s="45"/>
      <c r="CD80" s="45"/>
      <c r="CE80" s="45"/>
      <c r="CF80" s="45"/>
      <c r="CG80" s="45"/>
      <c r="CH80" s="45"/>
      <c r="CI80" s="45"/>
      <c r="CJ80" s="45"/>
      <c r="CK80" s="2"/>
    </row>
    <row r="81" spans="1:89" ht="41.45" customHeight="1">
      <c r="A81" s="61" t="s">
        <v>367</v>
      </c>
      <c r="C81" s="62"/>
      <c r="D81" s="62" t="s">
        <v>64</v>
      </c>
      <c r="E81" s="63">
        <v>70</v>
      </c>
      <c r="F81" s="65"/>
      <c r="G81" s="101" t="str">
        <f>HYPERLINK("https://pbs.twimg.com/profile_images/1381440989211070467/0hwiS6Hn_normal.jpg")</f>
        <v>https://pbs.twimg.com/profile_images/1381440989211070467/0hwiS6Hn_normal.jpg</v>
      </c>
      <c r="H81" s="62"/>
      <c r="I81" s="66" t="s">
        <v>367</v>
      </c>
      <c r="J81" s="67"/>
      <c r="K81" s="67" t="s">
        <v>75</v>
      </c>
      <c r="L81" s="66" t="s">
        <v>2157</v>
      </c>
      <c r="M81" s="70">
        <v>2000.6</v>
      </c>
      <c r="N81" s="71">
        <v>5060.79833984375</v>
      </c>
      <c r="O81" s="71">
        <v>7888.576171875</v>
      </c>
      <c r="P81" s="72"/>
      <c r="Q81" s="73"/>
      <c r="R81" s="73"/>
      <c r="S81" s="87"/>
      <c r="T81" s="45">
        <v>1</v>
      </c>
      <c r="U81" s="45">
        <v>0</v>
      </c>
      <c r="V81" s="46">
        <v>0</v>
      </c>
      <c r="W81" s="46">
        <v>0.00626</v>
      </c>
      <c r="X81" s="46">
        <v>0</v>
      </c>
      <c r="Y81" s="46">
        <v>0.004368</v>
      </c>
      <c r="Z81" s="46">
        <v>0</v>
      </c>
      <c r="AA81" s="46">
        <v>0</v>
      </c>
      <c r="AB81" s="68">
        <v>66</v>
      </c>
      <c r="AC81" s="68"/>
      <c r="AD81" s="69"/>
      <c r="AE81" s="76" t="s">
        <v>1390</v>
      </c>
      <c r="AF81" s="80" t="s">
        <v>1575</v>
      </c>
      <c r="AG81" s="76">
        <v>8374</v>
      </c>
      <c r="AH81" s="76">
        <v>824</v>
      </c>
      <c r="AI81" s="76">
        <v>9532</v>
      </c>
      <c r="AJ81" s="76">
        <v>73</v>
      </c>
      <c r="AK81" s="76">
        <v>24704</v>
      </c>
      <c r="AL81" s="76">
        <v>137</v>
      </c>
      <c r="AM81" s="76" t="b">
        <v>0</v>
      </c>
      <c r="AN81" s="78">
        <v>44291.53959490741</v>
      </c>
      <c r="AO81" s="76" t="s">
        <v>849</v>
      </c>
      <c r="AP81" s="76" t="s">
        <v>1808</v>
      </c>
      <c r="AQ81" s="76"/>
      <c r="AR81" s="76"/>
      <c r="AS81" s="76"/>
      <c r="AT81" s="76"/>
      <c r="AU81" s="76"/>
      <c r="AV81" s="76"/>
      <c r="AW81" s="76">
        <v>1.51059910844426E+18</v>
      </c>
      <c r="AX81" s="76"/>
      <c r="AY81" s="76" t="b">
        <v>0</v>
      </c>
      <c r="AZ81" s="76"/>
      <c r="BA81" s="76"/>
      <c r="BB81" s="76" t="b">
        <v>1</v>
      </c>
      <c r="BC81" s="76" t="b">
        <v>1</v>
      </c>
      <c r="BD81" s="76" t="b">
        <v>1</v>
      </c>
      <c r="BE81" s="76" t="b">
        <v>0</v>
      </c>
      <c r="BF81" s="76" t="b">
        <v>1</v>
      </c>
      <c r="BG81" s="76" t="b">
        <v>0</v>
      </c>
      <c r="BH81" s="76" t="b">
        <v>0</v>
      </c>
      <c r="BI81" s="76"/>
      <c r="BJ81" s="76"/>
      <c r="BK81" s="76" t="s">
        <v>2092</v>
      </c>
      <c r="BL81" s="76" t="b">
        <v>0</v>
      </c>
      <c r="BM81" s="76"/>
      <c r="BN81" s="76" t="s">
        <v>65</v>
      </c>
      <c r="BO81" s="76" t="s">
        <v>2094</v>
      </c>
      <c r="BP81" s="82" t="str">
        <f>HYPERLINK("https://twitter.com/disableddoctor")</f>
        <v>https://twitter.com/disableddoctor</v>
      </c>
      <c r="BQ81" s="76" t="str">
        <f>REPLACE(INDEX(GroupVertices[Group],MATCH("~"&amp;Vertices[[#This Row],[Vertex]],GroupVertices[Vertex],0)),1,1,"")</f>
        <v>19</v>
      </c>
      <c r="BR81" s="45"/>
      <c r="BS81" s="46"/>
      <c r="BT81" s="45"/>
      <c r="BU81" s="46"/>
      <c r="BV81" s="45"/>
      <c r="BW81" s="46"/>
      <c r="BX81" s="45"/>
      <c r="BY81" s="46"/>
      <c r="BZ81" s="45"/>
      <c r="CA81" s="45"/>
      <c r="CB81" s="45"/>
      <c r="CC81" s="45"/>
      <c r="CD81" s="45"/>
      <c r="CE81" s="45"/>
      <c r="CF81" s="45"/>
      <c r="CG81" s="45"/>
      <c r="CH81" s="45"/>
      <c r="CI81" s="45"/>
      <c r="CJ81" s="45"/>
      <c r="CK81" s="2"/>
    </row>
    <row r="82" spans="1:89" ht="41.45" customHeight="1">
      <c r="A82" s="61" t="s">
        <v>368</v>
      </c>
      <c r="C82" s="62"/>
      <c r="D82" s="62" t="s">
        <v>64</v>
      </c>
      <c r="E82" s="63">
        <v>70</v>
      </c>
      <c r="F82" s="65"/>
      <c r="G82" s="101" t="str">
        <f>HYPERLINK("https://pbs.twimg.com/profile_images/1354561551261290499/bdaiiaZK_normal.jpg")</f>
        <v>https://pbs.twimg.com/profile_images/1354561551261290499/bdaiiaZK_normal.jpg</v>
      </c>
      <c r="H82" s="62"/>
      <c r="I82" s="66" t="s">
        <v>368</v>
      </c>
      <c r="J82" s="67"/>
      <c r="K82" s="67" t="s">
        <v>75</v>
      </c>
      <c r="L82" s="66" t="s">
        <v>2158</v>
      </c>
      <c r="M82" s="70">
        <v>2000.6</v>
      </c>
      <c r="N82" s="71">
        <v>4663.37109375</v>
      </c>
      <c r="O82" s="71">
        <v>7084.724609375</v>
      </c>
      <c r="P82" s="72"/>
      <c r="Q82" s="73"/>
      <c r="R82" s="73"/>
      <c r="S82" s="87"/>
      <c r="T82" s="45">
        <v>1</v>
      </c>
      <c r="U82" s="45">
        <v>0</v>
      </c>
      <c r="V82" s="46">
        <v>0</v>
      </c>
      <c r="W82" s="46">
        <v>0.00626</v>
      </c>
      <c r="X82" s="46">
        <v>0</v>
      </c>
      <c r="Y82" s="46">
        <v>0.004368</v>
      </c>
      <c r="Z82" s="46">
        <v>0</v>
      </c>
      <c r="AA82" s="46">
        <v>0</v>
      </c>
      <c r="AB82" s="68">
        <v>67</v>
      </c>
      <c r="AC82" s="68"/>
      <c r="AD82" s="69"/>
      <c r="AE82" s="76" t="s">
        <v>1391</v>
      </c>
      <c r="AF82" s="80" t="s">
        <v>1162</v>
      </c>
      <c r="AG82" s="76">
        <v>90</v>
      </c>
      <c r="AH82" s="76">
        <v>292</v>
      </c>
      <c r="AI82" s="76">
        <v>6108</v>
      </c>
      <c r="AJ82" s="76">
        <v>0</v>
      </c>
      <c r="AK82" s="76">
        <v>2829</v>
      </c>
      <c r="AL82" s="76">
        <v>40</v>
      </c>
      <c r="AM82" s="76" t="b">
        <v>0</v>
      </c>
      <c r="AN82" s="78">
        <v>44143.267858796295</v>
      </c>
      <c r="AO82" s="76" t="s">
        <v>1679</v>
      </c>
      <c r="AP82" s="76" t="s">
        <v>1809</v>
      </c>
      <c r="AQ82" s="76"/>
      <c r="AR82" s="76"/>
      <c r="AS82" s="76"/>
      <c r="AT82" s="76"/>
      <c r="AU82" s="76"/>
      <c r="AV82" s="76"/>
      <c r="AW82" s="76">
        <v>1.73470216908797E+18</v>
      </c>
      <c r="AX82" s="76"/>
      <c r="AY82" s="76" t="b">
        <v>0</v>
      </c>
      <c r="AZ82" s="76"/>
      <c r="BA82" s="76"/>
      <c r="BB82" s="76" t="b">
        <v>1</v>
      </c>
      <c r="BC82" s="76" t="b">
        <v>1</v>
      </c>
      <c r="BD82" s="76" t="b">
        <v>1</v>
      </c>
      <c r="BE82" s="76" t="b">
        <v>0</v>
      </c>
      <c r="BF82" s="76" t="b">
        <v>0</v>
      </c>
      <c r="BG82" s="76" t="b">
        <v>0</v>
      </c>
      <c r="BH82" s="76" t="b">
        <v>0</v>
      </c>
      <c r="BI82" s="82" t="str">
        <f>HYPERLINK("https://pbs.twimg.com/profile_banners/1325323566288572418/1611787648")</f>
        <v>https://pbs.twimg.com/profile_banners/1325323566288572418/1611787648</v>
      </c>
      <c r="BJ82" s="76"/>
      <c r="BK82" s="76" t="s">
        <v>2092</v>
      </c>
      <c r="BL82" s="76" t="b">
        <v>0</v>
      </c>
      <c r="BM82" s="76"/>
      <c r="BN82" s="76" t="s">
        <v>65</v>
      </c>
      <c r="BO82" s="76" t="s">
        <v>2094</v>
      </c>
      <c r="BP82" s="82" t="str">
        <f>HYPERLINK("https://twitter.com/galena_white")</f>
        <v>https://twitter.com/galena_white</v>
      </c>
      <c r="BQ82" s="76" t="str">
        <f>REPLACE(INDEX(GroupVertices[Group],MATCH("~"&amp;Vertices[[#This Row],[Vertex]],GroupVertices[Vertex],0)),1,1,"")</f>
        <v>19</v>
      </c>
      <c r="BR82" s="45"/>
      <c r="BS82" s="46"/>
      <c r="BT82" s="45"/>
      <c r="BU82" s="46"/>
      <c r="BV82" s="45"/>
      <c r="BW82" s="46"/>
      <c r="BX82" s="45"/>
      <c r="BY82" s="46"/>
      <c r="BZ82" s="45"/>
      <c r="CA82" s="45"/>
      <c r="CB82" s="45"/>
      <c r="CC82" s="45"/>
      <c r="CD82" s="45"/>
      <c r="CE82" s="45"/>
      <c r="CF82" s="45"/>
      <c r="CG82" s="45"/>
      <c r="CH82" s="45"/>
      <c r="CI82" s="45"/>
      <c r="CJ82" s="45"/>
      <c r="CK82" s="2"/>
    </row>
    <row r="83" spans="1:89" ht="41.45" customHeight="1">
      <c r="A83" s="61" t="s">
        <v>252</v>
      </c>
      <c r="C83" s="62"/>
      <c r="D83" s="62" t="s">
        <v>64</v>
      </c>
      <c r="E83" s="63">
        <v>70</v>
      </c>
      <c r="F83" s="65"/>
      <c r="G83" s="101" t="str">
        <f>HYPERLINK("https://pbs.twimg.com/profile_images/1066205184815095809/thq4StbC_normal.jpg")</f>
        <v>https://pbs.twimg.com/profile_images/1066205184815095809/thq4StbC_normal.jpg</v>
      </c>
      <c r="H83" s="62"/>
      <c r="I83" s="66" t="s">
        <v>252</v>
      </c>
      <c r="J83" s="67"/>
      <c r="K83" s="67" t="s">
        <v>75</v>
      </c>
      <c r="L83" s="66" t="s">
        <v>2159</v>
      </c>
      <c r="M83" s="70">
        <v>1</v>
      </c>
      <c r="N83" s="71">
        <v>7657.54736328125</v>
      </c>
      <c r="O83" s="71">
        <v>6513.9658203125</v>
      </c>
      <c r="P83" s="72"/>
      <c r="Q83" s="73"/>
      <c r="R83" s="73"/>
      <c r="S83" s="87"/>
      <c r="T83" s="45">
        <v>0</v>
      </c>
      <c r="U83" s="45">
        <v>1</v>
      </c>
      <c r="V83" s="46">
        <v>0</v>
      </c>
      <c r="W83" s="46">
        <v>0.004695</v>
      </c>
      <c r="X83" s="46">
        <v>0</v>
      </c>
      <c r="Y83" s="46">
        <v>0.004673</v>
      </c>
      <c r="Z83" s="46">
        <v>0</v>
      </c>
      <c r="AA83" s="46">
        <v>0</v>
      </c>
      <c r="AB83" s="68">
        <v>68</v>
      </c>
      <c r="AC83" s="68"/>
      <c r="AD83" s="69"/>
      <c r="AE83" s="76" t="s">
        <v>1392</v>
      </c>
      <c r="AF83" s="80" t="s">
        <v>1576</v>
      </c>
      <c r="AG83" s="76">
        <v>1729</v>
      </c>
      <c r="AH83" s="76">
        <v>4934</v>
      </c>
      <c r="AI83" s="76">
        <v>47937</v>
      </c>
      <c r="AJ83" s="76">
        <v>11</v>
      </c>
      <c r="AK83" s="76">
        <v>56199</v>
      </c>
      <c r="AL83" s="76">
        <v>6095</v>
      </c>
      <c r="AM83" s="76" t="b">
        <v>0</v>
      </c>
      <c r="AN83" s="78">
        <v>39297.944189814814</v>
      </c>
      <c r="AO83" s="76" t="s">
        <v>1680</v>
      </c>
      <c r="AP83" s="76" t="s">
        <v>1810</v>
      </c>
      <c r="AQ83" s="82" t="str">
        <f>HYPERLINK("https://t.co/HeR4ilbqSG")</f>
        <v>https://t.co/HeR4ilbqSG</v>
      </c>
      <c r="AR83" s="82" t="str">
        <f>HYPERLINK("https://linktr.ee/Fyremelon")</f>
        <v>https://linktr.ee/Fyremelon</v>
      </c>
      <c r="AS83" s="76" t="s">
        <v>1984</v>
      </c>
      <c r="AT83" s="82" t="str">
        <f>HYPERLINK("https://t.co/hwA5i1Rn26")</f>
        <v>https://t.co/hwA5i1Rn26</v>
      </c>
      <c r="AU83" s="82" t="str">
        <f>HYPERLINK("https://www.twitch.tv/fyrelemon")</f>
        <v>https://www.twitch.tv/fyrelemon</v>
      </c>
      <c r="AV83" s="76" t="s">
        <v>2074</v>
      </c>
      <c r="AW83" s="76">
        <v>1.6851246584532E+18</v>
      </c>
      <c r="AX83" s="82" t="str">
        <f>HYPERLINK("https://t.co/HeR4ilbqSG")</f>
        <v>https://t.co/HeR4ilbqSG</v>
      </c>
      <c r="AY83" s="76" t="b">
        <v>0</v>
      </c>
      <c r="AZ83" s="76"/>
      <c r="BA83" s="76"/>
      <c r="BB83" s="76" t="b">
        <v>1</v>
      </c>
      <c r="BC83" s="76" t="b">
        <v>0</v>
      </c>
      <c r="BD83" s="76" t="b">
        <v>0</v>
      </c>
      <c r="BE83" s="76" t="b">
        <v>0</v>
      </c>
      <c r="BF83" s="76" t="b">
        <v>1</v>
      </c>
      <c r="BG83" s="76" t="b">
        <v>0</v>
      </c>
      <c r="BH83" s="76" t="b">
        <v>0</v>
      </c>
      <c r="BI83" s="82" t="str">
        <f>HYPERLINK("https://pbs.twimg.com/profile_banners/7943142/1630745657")</f>
        <v>https://pbs.twimg.com/profile_banners/7943142/1630745657</v>
      </c>
      <c r="BJ83" s="76"/>
      <c r="BK83" s="76" t="s">
        <v>2092</v>
      </c>
      <c r="BL83" s="76" t="b">
        <v>0</v>
      </c>
      <c r="BM83" s="76"/>
      <c r="BN83" s="76" t="s">
        <v>66</v>
      </c>
      <c r="BO83" s="76" t="s">
        <v>2094</v>
      </c>
      <c r="BP83" s="82" t="str">
        <f>HYPERLINK("https://twitter.com/zerocharisma")</f>
        <v>https://twitter.com/zerocharisma</v>
      </c>
      <c r="BQ83" s="76" t="str">
        <f>REPLACE(INDEX(GroupVertices[Group],MATCH("~"&amp;Vertices[[#This Row],[Vertex]],GroupVertices[Vertex],0)),1,1,"")</f>
        <v>57</v>
      </c>
      <c r="BR83" s="45">
        <v>1</v>
      </c>
      <c r="BS83" s="46">
        <v>5.555555555555555</v>
      </c>
      <c r="BT83" s="45">
        <v>1</v>
      </c>
      <c r="BU83" s="46">
        <v>5.555555555555555</v>
      </c>
      <c r="BV83" s="45">
        <v>0</v>
      </c>
      <c r="BW83" s="46">
        <v>0</v>
      </c>
      <c r="BX83" s="45">
        <v>8</v>
      </c>
      <c r="BY83" s="46">
        <v>44.44444444444444</v>
      </c>
      <c r="BZ83" s="45">
        <v>18</v>
      </c>
      <c r="CA83" s="45"/>
      <c r="CB83" s="45"/>
      <c r="CC83" s="45"/>
      <c r="CD83" s="45"/>
      <c r="CE83" s="45"/>
      <c r="CF83" s="45"/>
      <c r="CG83" s="114" t="s">
        <v>11315</v>
      </c>
      <c r="CH83" s="114" t="s">
        <v>11315</v>
      </c>
      <c r="CI83" s="114" t="s">
        <v>11444</v>
      </c>
      <c r="CJ83" s="114" t="s">
        <v>11444</v>
      </c>
      <c r="CK83" s="2"/>
    </row>
    <row r="84" spans="1:89" ht="41.45" customHeight="1">
      <c r="A84" s="61" t="s">
        <v>369</v>
      </c>
      <c r="C84" s="62"/>
      <c r="D84" s="62" t="s">
        <v>64</v>
      </c>
      <c r="E84" s="63">
        <v>70</v>
      </c>
      <c r="F84" s="65"/>
      <c r="G84" s="101" t="str">
        <f>HYPERLINK("https://pbs.twimg.com/profile_images/1569518509943844867/6oruZe3r_normal.jpg")</f>
        <v>https://pbs.twimg.com/profile_images/1569518509943844867/6oruZe3r_normal.jpg</v>
      </c>
      <c r="H84" s="62"/>
      <c r="I84" s="66" t="s">
        <v>369</v>
      </c>
      <c r="J84" s="67"/>
      <c r="K84" s="67" t="s">
        <v>75</v>
      </c>
      <c r="L84" s="66" t="s">
        <v>2160</v>
      </c>
      <c r="M84" s="70">
        <v>2000.6</v>
      </c>
      <c r="N84" s="71">
        <v>7657.54736328125</v>
      </c>
      <c r="O84" s="71">
        <v>5853.7490234375</v>
      </c>
      <c r="P84" s="72"/>
      <c r="Q84" s="73"/>
      <c r="R84" s="73"/>
      <c r="S84" s="87"/>
      <c r="T84" s="45">
        <v>1</v>
      </c>
      <c r="U84" s="45">
        <v>0</v>
      </c>
      <c r="V84" s="46">
        <v>0</v>
      </c>
      <c r="W84" s="46">
        <v>0.004695</v>
      </c>
      <c r="X84" s="46">
        <v>0</v>
      </c>
      <c r="Y84" s="46">
        <v>0.004673</v>
      </c>
      <c r="Z84" s="46">
        <v>0</v>
      </c>
      <c r="AA84" s="46">
        <v>0</v>
      </c>
      <c r="AB84" s="68">
        <v>69</v>
      </c>
      <c r="AC84" s="68"/>
      <c r="AD84" s="69"/>
      <c r="AE84" s="76" t="s">
        <v>1393</v>
      </c>
      <c r="AF84" s="80" t="s">
        <v>1163</v>
      </c>
      <c r="AG84" s="76">
        <v>216416</v>
      </c>
      <c r="AH84" s="76">
        <v>215914</v>
      </c>
      <c r="AI84" s="76">
        <v>96524</v>
      </c>
      <c r="AJ84" s="76">
        <v>558</v>
      </c>
      <c r="AK84" s="76">
        <v>23527</v>
      </c>
      <c r="AL84" s="76">
        <v>1772</v>
      </c>
      <c r="AM84" s="76" t="b">
        <v>0</v>
      </c>
      <c r="AN84" s="78">
        <v>40376.90840277778</v>
      </c>
      <c r="AO84" s="76"/>
      <c r="AP84" s="76" t="s">
        <v>1811</v>
      </c>
      <c r="AQ84" s="76"/>
      <c r="AR84" s="76"/>
      <c r="AS84" s="76"/>
      <c r="AT84" s="76"/>
      <c r="AU84" s="76"/>
      <c r="AV84" s="76"/>
      <c r="AW84" s="76"/>
      <c r="AX84" s="76"/>
      <c r="AY84" s="76" t="b">
        <v>1</v>
      </c>
      <c r="AZ84" s="76"/>
      <c r="BA84" s="76"/>
      <c r="BB84" s="76" t="b">
        <v>0</v>
      </c>
      <c r="BC84" s="76" t="b">
        <v>0</v>
      </c>
      <c r="BD84" s="76" t="b">
        <v>0</v>
      </c>
      <c r="BE84" s="76" t="b">
        <v>0</v>
      </c>
      <c r="BF84" s="76" t="b">
        <v>1</v>
      </c>
      <c r="BG84" s="76" t="b">
        <v>0</v>
      </c>
      <c r="BH84" s="76" t="b">
        <v>0</v>
      </c>
      <c r="BI84" s="82" t="str">
        <f>HYPERLINK("https://pbs.twimg.com/profile_banners/167915369/1623339710")</f>
        <v>https://pbs.twimg.com/profile_banners/167915369/1623339710</v>
      </c>
      <c r="BJ84" s="76"/>
      <c r="BK84" s="76" t="s">
        <v>2092</v>
      </c>
      <c r="BL84" s="76" t="b">
        <v>0</v>
      </c>
      <c r="BM84" s="76"/>
      <c r="BN84" s="76" t="s">
        <v>65</v>
      </c>
      <c r="BO84" s="76" t="s">
        <v>2094</v>
      </c>
      <c r="BP84" s="82" t="str">
        <f>HYPERLINK("https://twitter.com/jazzie654")</f>
        <v>https://twitter.com/jazzie654</v>
      </c>
      <c r="BQ84" s="76" t="str">
        <f>REPLACE(INDEX(GroupVertices[Group],MATCH("~"&amp;Vertices[[#This Row],[Vertex]],GroupVertices[Vertex],0)),1,1,"")</f>
        <v>57</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253</v>
      </c>
      <c r="C85" s="62"/>
      <c r="D85" s="62" t="s">
        <v>64</v>
      </c>
      <c r="E85" s="63">
        <v>70</v>
      </c>
      <c r="F85" s="65"/>
      <c r="G85" s="101" t="str">
        <f>HYPERLINK("https://pbs.twimg.com/profile_images/1731157961257664512/dAPoi63u_normal.jpg")</f>
        <v>https://pbs.twimg.com/profile_images/1731157961257664512/dAPoi63u_normal.jpg</v>
      </c>
      <c r="H85" s="62"/>
      <c r="I85" s="66" t="s">
        <v>253</v>
      </c>
      <c r="J85" s="67"/>
      <c r="K85" s="67" t="s">
        <v>75</v>
      </c>
      <c r="L85" s="66" t="s">
        <v>2161</v>
      </c>
      <c r="M85" s="70">
        <v>2000.6</v>
      </c>
      <c r="N85" s="71">
        <v>1577.314697265625</v>
      </c>
      <c r="O85" s="71">
        <v>4052.01416015625</v>
      </c>
      <c r="P85" s="72"/>
      <c r="Q85" s="73"/>
      <c r="R85" s="73"/>
      <c r="S85" s="87"/>
      <c r="T85" s="45">
        <v>1</v>
      </c>
      <c r="U85" s="45">
        <v>1</v>
      </c>
      <c r="V85" s="46">
        <v>0</v>
      </c>
      <c r="W85" s="46">
        <v>0</v>
      </c>
      <c r="X85" s="46">
        <v>0</v>
      </c>
      <c r="Y85" s="46">
        <v>0.004673</v>
      </c>
      <c r="Z85" s="46">
        <v>0</v>
      </c>
      <c r="AA85" s="46">
        <v>0</v>
      </c>
      <c r="AB85" s="68">
        <v>70</v>
      </c>
      <c r="AC85" s="68"/>
      <c r="AD85" s="69"/>
      <c r="AE85" s="76" t="s">
        <v>1394</v>
      </c>
      <c r="AF85" s="80" t="s">
        <v>1248</v>
      </c>
      <c r="AG85" s="76">
        <v>4366</v>
      </c>
      <c r="AH85" s="76">
        <v>3715</v>
      </c>
      <c r="AI85" s="76">
        <v>98697</v>
      </c>
      <c r="AJ85" s="76">
        <v>4</v>
      </c>
      <c r="AK85" s="76">
        <v>87623</v>
      </c>
      <c r="AL85" s="76">
        <v>33589</v>
      </c>
      <c r="AM85" s="76" t="b">
        <v>0</v>
      </c>
      <c r="AN85" s="78">
        <v>43941.4522337963</v>
      </c>
      <c r="AO85" s="76" t="s">
        <v>855</v>
      </c>
      <c r="AP85" s="76" t="s">
        <v>1812</v>
      </c>
      <c r="AQ85" s="82" t="str">
        <f>HYPERLINK("https://t.co/PfBtkvok5p")</f>
        <v>https://t.co/PfBtkvok5p</v>
      </c>
      <c r="AR85" s="82" t="str">
        <f>HYPERLINK("http://ministryoftrutharchive.com")</f>
        <v>http://ministryoftrutharchive.com</v>
      </c>
      <c r="AS85" s="76" t="s">
        <v>1985</v>
      </c>
      <c r="AT85" s="76"/>
      <c r="AU85" s="76"/>
      <c r="AV85" s="76"/>
      <c r="AW85" s="76">
        <v>1.73975367356218E+18</v>
      </c>
      <c r="AX85" s="82" t="str">
        <f>HYPERLINK("https://t.co/PfBtkvok5p")</f>
        <v>https://t.co/PfBtkvok5p</v>
      </c>
      <c r="AY85" s="76" t="b">
        <v>1</v>
      </c>
      <c r="AZ85" s="76"/>
      <c r="BA85" s="76"/>
      <c r="BB85" s="76" t="b">
        <v>1</v>
      </c>
      <c r="BC85" s="76" t="b">
        <v>0</v>
      </c>
      <c r="BD85" s="76" t="b">
        <v>1</v>
      </c>
      <c r="BE85" s="76" t="b">
        <v>0</v>
      </c>
      <c r="BF85" s="76" t="b">
        <v>1</v>
      </c>
      <c r="BG85" s="76" t="b">
        <v>0</v>
      </c>
      <c r="BH85" s="76" t="b">
        <v>0</v>
      </c>
      <c r="BI85" s="82" t="str">
        <f>HYPERLINK("https://pbs.twimg.com/profile_banners/1252187964710326272/1697331331")</f>
        <v>https://pbs.twimg.com/profile_banners/1252187964710326272/1697331331</v>
      </c>
      <c r="BJ85" s="76"/>
      <c r="BK85" s="76" t="s">
        <v>2092</v>
      </c>
      <c r="BL85" s="76" t="b">
        <v>0</v>
      </c>
      <c r="BM85" s="76"/>
      <c r="BN85" s="76" t="s">
        <v>66</v>
      </c>
      <c r="BO85" s="76" t="s">
        <v>2094</v>
      </c>
      <c r="BP85" s="82" t="str">
        <f>HYPERLINK("https://twitter.com/minitruearchive")</f>
        <v>https://twitter.com/minitruearchive</v>
      </c>
      <c r="BQ85" s="76" t="str">
        <f>REPLACE(INDEX(GroupVertices[Group],MATCH("~"&amp;Vertices[[#This Row],[Vertex]],GroupVertices[Vertex],0)),1,1,"")</f>
        <v>1</v>
      </c>
      <c r="BR85" s="45">
        <v>0</v>
      </c>
      <c r="BS85" s="46">
        <v>0</v>
      </c>
      <c r="BT85" s="45">
        <v>4</v>
      </c>
      <c r="BU85" s="46">
        <v>22.22222222222222</v>
      </c>
      <c r="BV85" s="45">
        <v>0</v>
      </c>
      <c r="BW85" s="46">
        <v>0</v>
      </c>
      <c r="BX85" s="45">
        <v>10</v>
      </c>
      <c r="BY85" s="46">
        <v>55.55555555555556</v>
      </c>
      <c r="BZ85" s="45">
        <v>18</v>
      </c>
      <c r="CA85" s="45"/>
      <c r="CB85" s="45"/>
      <c r="CC85" s="45"/>
      <c r="CD85" s="45"/>
      <c r="CE85" s="45"/>
      <c r="CF85" s="45"/>
      <c r="CG85" s="114" t="s">
        <v>11316</v>
      </c>
      <c r="CH85" s="114" t="s">
        <v>11316</v>
      </c>
      <c r="CI85" s="114" t="s">
        <v>11445</v>
      </c>
      <c r="CJ85" s="114" t="s">
        <v>11445</v>
      </c>
      <c r="CK85" s="2"/>
    </row>
    <row r="86" spans="1:89" ht="41.45" customHeight="1">
      <c r="A86" s="61" t="s">
        <v>370</v>
      </c>
      <c r="C86" s="62"/>
      <c r="D86" s="62" t="s">
        <v>64</v>
      </c>
      <c r="E86" s="63">
        <v>70</v>
      </c>
      <c r="F86" s="65"/>
      <c r="G86" s="101" t="str">
        <f>HYPERLINK("https://pbs.twimg.com/profile_images/1710360942138085376/ceAez4Bk_normal.jpg")</f>
        <v>https://pbs.twimg.com/profile_images/1710360942138085376/ceAez4Bk_normal.jpg</v>
      </c>
      <c r="H86" s="62"/>
      <c r="I86" s="66" t="s">
        <v>370</v>
      </c>
      <c r="J86" s="67"/>
      <c r="K86" s="67" t="s">
        <v>75</v>
      </c>
      <c r="L86" s="66" t="s">
        <v>2163</v>
      </c>
      <c r="M86" s="70">
        <v>2000.6</v>
      </c>
      <c r="N86" s="71">
        <v>5060.79833984375</v>
      </c>
      <c r="O86" s="71">
        <v>6230.4755859375</v>
      </c>
      <c r="P86" s="72"/>
      <c r="Q86" s="73"/>
      <c r="R86" s="73"/>
      <c r="S86" s="87"/>
      <c r="T86" s="45">
        <v>1</v>
      </c>
      <c r="U86" s="45">
        <v>0</v>
      </c>
      <c r="V86" s="46">
        <v>0</v>
      </c>
      <c r="W86" s="46">
        <v>0.00626</v>
      </c>
      <c r="X86" s="46">
        <v>0</v>
      </c>
      <c r="Y86" s="46">
        <v>0.004368</v>
      </c>
      <c r="Z86" s="46">
        <v>0</v>
      </c>
      <c r="AA86" s="46">
        <v>0</v>
      </c>
      <c r="AB86" s="68">
        <v>72</v>
      </c>
      <c r="AC86" s="68"/>
      <c r="AD86" s="69"/>
      <c r="AE86" s="76" t="s">
        <v>1396</v>
      </c>
      <c r="AF86" s="80" t="s">
        <v>1577</v>
      </c>
      <c r="AG86" s="76">
        <v>18373</v>
      </c>
      <c r="AH86" s="76">
        <v>1340</v>
      </c>
      <c r="AI86" s="76">
        <v>56887</v>
      </c>
      <c r="AJ86" s="76">
        <v>62</v>
      </c>
      <c r="AK86" s="76">
        <v>215596</v>
      </c>
      <c r="AL86" s="76">
        <v>3021</v>
      </c>
      <c r="AM86" s="76" t="b">
        <v>0</v>
      </c>
      <c r="AN86" s="78">
        <v>43915.538402777776</v>
      </c>
      <c r="AO86" s="76"/>
      <c r="AP86" s="76" t="s">
        <v>1814</v>
      </c>
      <c r="AQ86" s="76"/>
      <c r="AR86" s="76"/>
      <c r="AS86" s="76"/>
      <c r="AT86" s="76"/>
      <c r="AU86" s="76"/>
      <c r="AV86" s="76"/>
      <c r="AW86" s="76">
        <v>1.74344358027686E+18</v>
      </c>
      <c r="AX86" s="76"/>
      <c r="AY86" s="76" t="b">
        <v>1</v>
      </c>
      <c r="AZ86" s="76"/>
      <c r="BA86" s="76"/>
      <c r="BB86" s="76" t="b">
        <v>1</v>
      </c>
      <c r="BC86" s="76" t="b">
        <v>0</v>
      </c>
      <c r="BD86" s="76" t="b">
        <v>1</v>
      </c>
      <c r="BE86" s="76" t="b">
        <v>0</v>
      </c>
      <c r="BF86" s="76" t="b">
        <v>1</v>
      </c>
      <c r="BG86" s="76" t="b">
        <v>0</v>
      </c>
      <c r="BH86" s="76" t="b">
        <v>0</v>
      </c>
      <c r="BI86" s="82" t="str">
        <f>HYPERLINK("https://pbs.twimg.com/profile_banners/1242797149882114049/1705530981")</f>
        <v>https://pbs.twimg.com/profile_banners/1242797149882114049/1705530981</v>
      </c>
      <c r="BJ86" s="76"/>
      <c r="BK86" s="76" t="s">
        <v>2092</v>
      </c>
      <c r="BL86" s="76" t="b">
        <v>0</v>
      </c>
      <c r="BM86" s="76"/>
      <c r="BN86" s="76" t="s">
        <v>65</v>
      </c>
      <c r="BO86" s="76" t="s">
        <v>2094</v>
      </c>
      <c r="BP86" s="82" t="str">
        <f>HYPERLINK("https://twitter.com/carissasnewlife")</f>
        <v>https://twitter.com/carissasnewlife</v>
      </c>
      <c r="BQ86" s="76" t="str">
        <f>REPLACE(INDEX(GroupVertices[Group],MATCH("~"&amp;Vertices[[#This Row],[Vertex]],GroupVertices[Vertex],0)),1,1,"")</f>
        <v>18</v>
      </c>
      <c r="BR86" s="45"/>
      <c r="BS86" s="46"/>
      <c r="BT86" s="45"/>
      <c r="BU86" s="46"/>
      <c r="BV86" s="45"/>
      <c r="BW86" s="46"/>
      <c r="BX86" s="45"/>
      <c r="BY86" s="46"/>
      <c r="BZ86" s="45"/>
      <c r="CA86" s="45"/>
      <c r="CB86" s="45"/>
      <c r="CC86" s="45"/>
      <c r="CD86" s="45"/>
      <c r="CE86" s="45"/>
      <c r="CF86" s="45"/>
      <c r="CG86" s="45"/>
      <c r="CH86" s="45"/>
      <c r="CI86" s="45"/>
      <c r="CJ86" s="45"/>
      <c r="CK86" s="2"/>
    </row>
    <row r="87" spans="1:89" ht="41.45" customHeight="1">
      <c r="A87" s="61" t="s">
        <v>371</v>
      </c>
      <c r="C87" s="62"/>
      <c r="D87" s="62" t="s">
        <v>64</v>
      </c>
      <c r="E87" s="63">
        <v>70</v>
      </c>
      <c r="F87" s="65"/>
      <c r="G87" s="101" t="str">
        <f>HYPERLINK("https://pbs.twimg.com/profile_images/1666617875677806597/2DiAKF6T_normal.jpg")</f>
        <v>https://pbs.twimg.com/profile_images/1666617875677806597/2DiAKF6T_normal.jpg</v>
      </c>
      <c r="H87" s="62"/>
      <c r="I87" s="66" t="s">
        <v>371</v>
      </c>
      <c r="J87" s="67"/>
      <c r="K87" s="67" t="s">
        <v>75</v>
      </c>
      <c r="L87" s="66" t="s">
        <v>2164</v>
      </c>
      <c r="M87" s="70">
        <v>2000.6</v>
      </c>
      <c r="N87" s="71">
        <v>4663.37109375</v>
      </c>
      <c r="O87" s="71">
        <v>5426.62451171875</v>
      </c>
      <c r="P87" s="72"/>
      <c r="Q87" s="73"/>
      <c r="R87" s="73"/>
      <c r="S87" s="87"/>
      <c r="T87" s="45">
        <v>1</v>
      </c>
      <c r="U87" s="45">
        <v>0</v>
      </c>
      <c r="V87" s="46">
        <v>0</v>
      </c>
      <c r="W87" s="46">
        <v>0.00626</v>
      </c>
      <c r="X87" s="46">
        <v>0</v>
      </c>
      <c r="Y87" s="46">
        <v>0.004368</v>
      </c>
      <c r="Z87" s="46">
        <v>0</v>
      </c>
      <c r="AA87" s="46">
        <v>0</v>
      </c>
      <c r="AB87" s="68">
        <v>73</v>
      </c>
      <c r="AC87" s="68"/>
      <c r="AD87" s="69"/>
      <c r="AE87" s="76" t="s">
        <v>1397</v>
      </c>
      <c r="AF87" s="80" t="s">
        <v>1164</v>
      </c>
      <c r="AG87" s="76">
        <v>417</v>
      </c>
      <c r="AH87" s="76">
        <v>1032</v>
      </c>
      <c r="AI87" s="76">
        <v>54167</v>
      </c>
      <c r="AJ87" s="76">
        <v>12</v>
      </c>
      <c r="AK87" s="76">
        <v>109108</v>
      </c>
      <c r="AL87" s="76">
        <v>2283</v>
      </c>
      <c r="AM87" s="76" t="b">
        <v>0</v>
      </c>
      <c r="AN87" s="78">
        <v>40091.049525462964</v>
      </c>
      <c r="AO87" s="76" t="s">
        <v>1681</v>
      </c>
      <c r="AP87" s="76" t="s">
        <v>1815</v>
      </c>
      <c r="AQ87" s="76"/>
      <c r="AR87" s="76"/>
      <c r="AS87" s="76"/>
      <c r="AT87" s="76"/>
      <c r="AU87" s="76"/>
      <c r="AV87" s="76"/>
      <c r="AW87" s="76"/>
      <c r="AX87" s="76"/>
      <c r="AY87" s="76" t="b">
        <v>0</v>
      </c>
      <c r="AZ87" s="76"/>
      <c r="BA87" s="76"/>
      <c r="BB87" s="76" t="b">
        <v>0</v>
      </c>
      <c r="BC87" s="76" t="b">
        <v>0</v>
      </c>
      <c r="BD87" s="76" t="b">
        <v>0</v>
      </c>
      <c r="BE87" s="76" t="b">
        <v>0</v>
      </c>
      <c r="BF87" s="76" t="b">
        <v>1</v>
      </c>
      <c r="BG87" s="76" t="b">
        <v>0</v>
      </c>
      <c r="BH87" s="76" t="b">
        <v>0</v>
      </c>
      <c r="BI87" s="82" t="str">
        <f>HYPERLINK("https://pbs.twimg.com/profile_banners/79879197/1688341179")</f>
        <v>https://pbs.twimg.com/profile_banners/79879197/1688341179</v>
      </c>
      <c r="BJ87" s="76"/>
      <c r="BK87" s="76" t="s">
        <v>2092</v>
      </c>
      <c r="BL87" s="76" t="b">
        <v>0</v>
      </c>
      <c r="BM87" s="76"/>
      <c r="BN87" s="76" t="s">
        <v>65</v>
      </c>
      <c r="BO87" s="76" t="s">
        <v>2094</v>
      </c>
      <c r="BP87" s="82" t="str">
        <f>HYPERLINK("https://twitter.com/cardiwithpearls")</f>
        <v>https://twitter.com/cardiwithpearls</v>
      </c>
      <c r="BQ87" s="76" t="str">
        <f>REPLACE(INDEX(GroupVertices[Group],MATCH("~"&amp;Vertices[[#This Row],[Vertex]],GroupVertices[Vertex],0)),1,1,"")</f>
        <v>18</v>
      </c>
      <c r="BR87" s="45"/>
      <c r="BS87" s="46"/>
      <c r="BT87" s="45"/>
      <c r="BU87" s="46"/>
      <c r="BV87" s="45"/>
      <c r="BW87" s="46"/>
      <c r="BX87" s="45"/>
      <c r="BY87" s="46"/>
      <c r="BZ87" s="45"/>
      <c r="CA87" s="45"/>
      <c r="CB87" s="45"/>
      <c r="CC87" s="45"/>
      <c r="CD87" s="45"/>
      <c r="CE87" s="45"/>
      <c r="CF87" s="45"/>
      <c r="CG87" s="45"/>
      <c r="CH87" s="45"/>
      <c r="CI87" s="45"/>
      <c r="CJ87" s="45"/>
      <c r="CK87" s="2"/>
    </row>
    <row r="88" spans="1:89" ht="41.45" customHeight="1">
      <c r="A88" s="61" t="s">
        <v>255</v>
      </c>
      <c r="C88" s="62"/>
      <c r="D88" s="62" t="s">
        <v>64</v>
      </c>
      <c r="E88" s="63">
        <v>70</v>
      </c>
      <c r="F88" s="65"/>
      <c r="G88" s="101" t="str">
        <f>HYPERLINK("https://pbs.twimg.com/profile_images/1692369379374026752/d3z8o_79_normal.jpg")</f>
        <v>https://pbs.twimg.com/profile_images/1692369379374026752/d3z8o_79_normal.jpg</v>
      </c>
      <c r="H88" s="62"/>
      <c r="I88" s="66" t="s">
        <v>255</v>
      </c>
      <c r="J88" s="67"/>
      <c r="K88" s="67" t="s">
        <v>75</v>
      </c>
      <c r="L88" s="66" t="s">
        <v>2165</v>
      </c>
      <c r="M88" s="70">
        <v>2000.6</v>
      </c>
      <c r="N88" s="71">
        <v>1134.3516845703125</v>
      </c>
      <c r="O88" s="71">
        <v>4052.01416015625</v>
      </c>
      <c r="P88" s="72"/>
      <c r="Q88" s="73"/>
      <c r="R88" s="73"/>
      <c r="S88" s="87"/>
      <c r="T88" s="45">
        <v>1</v>
      </c>
      <c r="U88" s="45">
        <v>1</v>
      </c>
      <c r="V88" s="46">
        <v>0</v>
      </c>
      <c r="W88" s="46">
        <v>0</v>
      </c>
      <c r="X88" s="46">
        <v>0</v>
      </c>
      <c r="Y88" s="46">
        <v>0.004673</v>
      </c>
      <c r="Z88" s="46">
        <v>0</v>
      </c>
      <c r="AA88" s="46">
        <v>0</v>
      </c>
      <c r="AB88" s="68">
        <v>74</v>
      </c>
      <c r="AC88" s="68"/>
      <c r="AD88" s="69"/>
      <c r="AE88" s="76" t="s">
        <v>1398</v>
      </c>
      <c r="AF88" s="80" t="s">
        <v>1250</v>
      </c>
      <c r="AG88" s="76">
        <v>396</v>
      </c>
      <c r="AH88" s="76">
        <v>1198</v>
      </c>
      <c r="AI88" s="76">
        <v>29107</v>
      </c>
      <c r="AJ88" s="76">
        <v>0</v>
      </c>
      <c r="AK88" s="76">
        <v>1592</v>
      </c>
      <c r="AL88" s="76">
        <v>6071</v>
      </c>
      <c r="AM88" s="76" t="b">
        <v>0</v>
      </c>
      <c r="AN88" s="78">
        <v>45155.12552083333</v>
      </c>
      <c r="AO88" s="76" t="s">
        <v>1682</v>
      </c>
      <c r="AP88" s="76" t="s">
        <v>1816</v>
      </c>
      <c r="AQ88" s="76"/>
      <c r="AR88" s="76"/>
      <c r="AS88" s="76"/>
      <c r="AT88" s="76"/>
      <c r="AU88" s="76"/>
      <c r="AV88" s="76"/>
      <c r="AW88" s="76"/>
      <c r="AX88" s="76"/>
      <c r="AY88" s="76" t="b">
        <v>0</v>
      </c>
      <c r="AZ88" s="76"/>
      <c r="BA88" s="76"/>
      <c r="BB88" s="76" t="b">
        <v>0</v>
      </c>
      <c r="BC88" s="76" t="b">
        <v>1</v>
      </c>
      <c r="BD88" s="76" t="b">
        <v>1</v>
      </c>
      <c r="BE88" s="76" t="b">
        <v>0</v>
      </c>
      <c r="BF88" s="76" t="b">
        <v>0</v>
      </c>
      <c r="BG88" s="76" t="b">
        <v>0</v>
      </c>
      <c r="BH88" s="76" t="b">
        <v>0</v>
      </c>
      <c r="BI88" s="76"/>
      <c r="BJ88" s="76"/>
      <c r="BK88" s="76" t="s">
        <v>2092</v>
      </c>
      <c r="BL88" s="76" t="b">
        <v>0</v>
      </c>
      <c r="BM88" s="76"/>
      <c r="BN88" s="76" t="s">
        <v>66</v>
      </c>
      <c r="BO88" s="76" t="s">
        <v>2094</v>
      </c>
      <c r="BP88" s="82" t="str">
        <f>HYPERLINK("https://twitter.com/kythrawowalls")</f>
        <v>https://twitter.com/kythrawowalls</v>
      </c>
      <c r="BQ88" s="76" t="str">
        <f>REPLACE(INDEX(GroupVertices[Group],MATCH("~"&amp;Vertices[[#This Row],[Vertex]],GroupVertices[Vertex],0)),1,1,"")</f>
        <v>1</v>
      </c>
      <c r="BR88" s="45">
        <v>1</v>
      </c>
      <c r="BS88" s="46">
        <v>1.9607843137254901</v>
      </c>
      <c r="BT88" s="45">
        <v>3</v>
      </c>
      <c r="BU88" s="46">
        <v>5.882352941176471</v>
      </c>
      <c r="BV88" s="45">
        <v>0</v>
      </c>
      <c r="BW88" s="46">
        <v>0</v>
      </c>
      <c r="BX88" s="45">
        <v>20</v>
      </c>
      <c r="BY88" s="46">
        <v>39.21568627450981</v>
      </c>
      <c r="BZ88" s="45">
        <v>51</v>
      </c>
      <c r="CA88" s="45"/>
      <c r="CB88" s="45"/>
      <c r="CC88" s="45"/>
      <c r="CD88" s="45"/>
      <c r="CE88" s="45"/>
      <c r="CF88" s="45"/>
      <c r="CG88" s="114" t="s">
        <v>11318</v>
      </c>
      <c r="CH88" s="114" t="s">
        <v>11318</v>
      </c>
      <c r="CI88" s="114" t="s">
        <v>11447</v>
      </c>
      <c r="CJ88" s="114" t="s">
        <v>11447</v>
      </c>
      <c r="CK88" s="2"/>
    </row>
    <row r="89" spans="1:89" ht="41.45" customHeight="1">
      <c r="A89" s="61" t="s">
        <v>256</v>
      </c>
      <c r="C89" s="62"/>
      <c r="D89" s="62" t="s">
        <v>64</v>
      </c>
      <c r="E89" s="63">
        <v>70</v>
      </c>
      <c r="F89" s="65"/>
      <c r="G89" s="101" t="str">
        <f>HYPERLINK("https://pbs.twimg.com/profile_images/1698486847683350528/kTCyEJls_normal.jpg")</f>
        <v>https://pbs.twimg.com/profile_images/1698486847683350528/kTCyEJls_normal.jpg</v>
      </c>
      <c r="H89" s="62"/>
      <c r="I89" s="66" t="s">
        <v>256</v>
      </c>
      <c r="J89" s="67"/>
      <c r="K89" s="67" t="s">
        <v>75</v>
      </c>
      <c r="L89" s="66" t="s">
        <v>2166</v>
      </c>
      <c r="M89" s="70">
        <v>2000.6</v>
      </c>
      <c r="N89" s="71">
        <v>248.42568969726562</v>
      </c>
      <c r="O89" s="71">
        <v>3144.8466796875</v>
      </c>
      <c r="P89" s="72"/>
      <c r="Q89" s="73"/>
      <c r="R89" s="73"/>
      <c r="S89" s="87"/>
      <c r="T89" s="45">
        <v>1</v>
      </c>
      <c r="U89" s="45">
        <v>1</v>
      </c>
      <c r="V89" s="46">
        <v>0</v>
      </c>
      <c r="W89" s="46">
        <v>0</v>
      </c>
      <c r="X89" s="46">
        <v>0</v>
      </c>
      <c r="Y89" s="46">
        <v>0.004673</v>
      </c>
      <c r="Z89" s="46">
        <v>0</v>
      </c>
      <c r="AA89" s="46">
        <v>0</v>
      </c>
      <c r="AB89" s="68">
        <v>75</v>
      </c>
      <c r="AC89" s="68"/>
      <c r="AD89" s="69"/>
      <c r="AE89" s="76" t="s">
        <v>1399</v>
      </c>
      <c r="AF89" s="80" t="s">
        <v>1251</v>
      </c>
      <c r="AG89" s="76">
        <v>7062</v>
      </c>
      <c r="AH89" s="76">
        <v>7053</v>
      </c>
      <c r="AI89" s="76">
        <v>33327</v>
      </c>
      <c r="AJ89" s="76">
        <v>14</v>
      </c>
      <c r="AK89" s="76">
        <v>29065</v>
      </c>
      <c r="AL89" s="76">
        <v>6371</v>
      </c>
      <c r="AM89" s="76" t="b">
        <v>0</v>
      </c>
      <c r="AN89" s="78">
        <v>45067.68033564815</v>
      </c>
      <c r="AO89" s="76" t="s">
        <v>854</v>
      </c>
      <c r="AP89" s="76" t="s">
        <v>1817</v>
      </c>
      <c r="AQ89" s="76"/>
      <c r="AR89" s="76"/>
      <c r="AS89" s="76"/>
      <c r="AT89" s="76"/>
      <c r="AU89" s="76"/>
      <c r="AV89" s="76"/>
      <c r="AW89" s="76">
        <v>1.75212454502324E+18</v>
      </c>
      <c r="AX89" s="76"/>
      <c r="AY89" s="76" t="b">
        <v>1</v>
      </c>
      <c r="AZ89" s="76"/>
      <c r="BA89" s="76"/>
      <c r="BB89" s="76" t="b">
        <v>0</v>
      </c>
      <c r="BC89" s="76" t="b">
        <v>1</v>
      </c>
      <c r="BD89" s="76" t="b">
        <v>1</v>
      </c>
      <c r="BE89" s="76" t="b">
        <v>0</v>
      </c>
      <c r="BF89" s="76" t="b">
        <v>0</v>
      </c>
      <c r="BG89" s="76" t="b">
        <v>0</v>
      </c>
      <c r="BH89" s="76" t="b">
        <v>0</v>
      </c>
      <c r="BI89" s="82" t="str">
        <f>HYPERLINK("https://pbs.twimg.com/profile_banners/1660319368293781505/1684687320")</f>
        <v>https://pbs.twimg.com/profile_banners/1660319368293781505/1684687320</v>
      </c>
      <c r="BJ89" s="76"/>
      <c r="BK89" s="76" t="s">
        <v>2092</v>
      </c>
      <c r="BL89" s="76" t="b">
        <v>0</v>
      </c>
      <c r="BM89" s="76"/>
      <c r="BN89" s="76" t="s">
        <v>66</v>
      </c>
      <c r="BO89" s="76" t="s">
        <v>2094</v>
      </c>
      <c r="BP89" s="82" t="str">
        <f>HYPERLINK("https://twitter.com/davidtaple90421")</f>
        <v>https://twitter.com/davidtaple90421</v>
      </c>
      <c r="BQ89" s="76" t="str">
        <f>REPLACE(INDEX(GroupVertices[Group],MATCH("~"&amp;Vertices[[#This Row],[Vertex]],GroupVertices[Vertex],0)),1,1,"")</f>
        <v>1</v>
      </c>
      <c r="BR89" s="45">
        <v>2</v>
      </c>
      <c r="BS89" s="46">
        <v>8.695652173913043</v>
      </c>
      <c r="BT89" s="45">
        <v>5</v>
      </c>
      <c r="BU89" s="46">
        <v>21.73913043478261</v>
      </c>
      <c r="BV89" s="45">
        <v>0</v>
      </c>
      <c r="BW89" s="46">
        <v>0</v>
      </c>
      <c r="BX89" s="45">
        <v>6</v>
      </c>
      <c r="BY89" s="46">
        <v>26.08695652173913</v>
      </c>
      <c r="BZ89" s="45">
        <v>23</v>
      </c>
      <c r="CA89" s="45"/>
      <c r="CB89" s="45"/>
      <c r="CC89" s="45"/>
      <c r="CD89" s="45"/>
      <c r="CE89" s="45"/>
      <c r="CF89" s="45"/>
      <c r="CG89" s="114" t="s">
        <v>11319</v>
      </c>
      <c r="CH89" s="114" t="s">
        <v>11319</v>
      </c>
      <c r="CI89" s="114" t="s">
        <v>11448</v>
      </c>
      <c r="CJ89" s="114" t="s">
        <v>11448</v>
      </c>
      <c r="CK89" s="2"/>
    </row>
    <row r="90" spans="1:89" ht="41.45" customHeight="1">
      <c r="A90" s="61" t="s">
        <v>372</v>
      </c>
      <c r="C90" s="62"/>
      <c r="D90" s="62" t="s">
        <v>64</v>
      </c>
      <c r="E90" s="63">
        <v>70</v>
      </c>
      <c r="F90" s="65"/>
      <c r="G90" s="101" t="str">
        <f>HYPERLINK("https://pbs.twimg.com/profile_images/1745913466127319040/uIdxzPAo_normal.jpg")</f>
        <v>https://pbs.twimg.com/profile_images/1745913466127319040/uIdxzPAo_normal.jpg</v>
      </c>
      <c r="H90" s="62"/>
      <c r="I90" s="66" t="s">
        <v>372</v>
      </c>
      <c r="J90" s="67"/>
      <c r="K90" s="67" t="s">
        <v>75</v>
      </c>
      <c r="L90" s="66" t="s">
        <v>2168</v>
      </c>
      <c r="M90" s="70">
        <v>2000.6</v>
      </c>
      <c r="N90" s="71">
        <v>4181.0693359375</v>
      </c>
      <c r="O90" s="71">
        <v>3041.530517578125</v>
      </c>
      <c r="P90" s="72"/>
      <c r="Q90" s="73"/>
      <c r="R90" s="73"/>
      <c r="S90" s="87"/>
      <c r="T90" s="45">
        <v>1</v>
      </c>
      <c r="U90" s="45">
        <v>0</v>
      </c>
      <c r="V90" s="46">
        <v>0</v>
      </c>
      <c r="W90" s="46">
        <v>0.008451</v>
      </c>
      <c r="X90" s="46">
        <v>0</v>
      </c>
      <c r="Y90" s="46">
        <v>0.004267</v>
      </c>
      <c r="Z90" s="46">
        <v>0</v>
      </c>
      <c r="AA90" s="46">
        <v>0</v>
      </c>
      <c r="AB90" s="68">
        <v>77</v>
      </c>
      <c r="AC90" s="68"/>
      <c r="AD90" s="69"/>
      <c r="AE90" s="76" t="s">
        <v>1401</v>
      </c>
      <c r="AF90" s="80" t="s">
        <v>1578</v>
      </c>
      <c r="AG90" s="76">
        <v>5274</v>
      </c>
      <c r="AH90" s="76">
        <v>3858</v>
      </c>
      <c r="AI90" s="76">
        <v>16072</v>
      </c>
      <c r="AJ90" s="76">
        <v>14</v>
      </c>
      <c r="AK90" s="76">
        <v>106931</v>
      </c>
      <c r="AL90" s="76">
        <v>1198</v>
      </c>
      <c r="AM90" s="76" t="b">
        <v>0</v>
      </c>
      <c r="AN90" s="78">
        <v>42377.89392361111</v>
      </c>
      <c r="AO90" s="76" t="s">
        <v>1683</v>
      </c>
      <c r="AP90" s="76" t="s">
        <v>1819</v>
      </c>
      <c r="AQ90" s="76"/>
      <c r="AR90" s="76"/>
      <c r="AS90" s="76"/>
      <c r="AT90" s="76"/>
      <c r="AU90" s="76"/>
      <c r="AV90" s="76"/>
      <c r="AW90" s="76">
        <v>1.74808592730866E+18</v>
      </c>
      <c r="AX90" s="76"/>
      <c r="AY90" s="76" t="b">
        <v>0</v>
      </c>
      <c r="AZ90" s="76"/>
      <c r="BA90" s="76"/>
      <c r="BB90" s="76" t="b">
        <v>1</v>
      </c>
      <c r="BC90" s="76" t="b">
        <v>1</v>
      </c>
      <c r="BD90" s="76" t="b">
        <v>1</v>
      </c>
      <c r="BE90" s="76" t="b">
        <v>0</v>
      </c>
      <c r="BF90" s="76" t="b">
        <v>1</v>
      </c>
      <c r="BG90" s="76" t="b">
        <v>0</v>
      </c>
      <c r="BH90" s="76" t="b">
        <v>0</v>
      </c>
      <c r="BI90" s="82" t="str">
        <f>HYPERLINK("https://pbs.twimg.com/profile_banners/4748162512/1703209407")</f>
        <v>https://pbs.twimg.com/profile_banners/4748162512/1703209407</v>
      </c>
      <c r="BJ90" s="76"/>
      <c r="BK90" s="76" t="s">
        <v>2092</v>
      </c>
      <c r="BL90" s="76" t="b">
        <v>0</v>
      </c>
      <c r="BM90" s="76"/>
      <c r="BN90" s="76" t="s">
        <v>65</v>
      </c>
      <c r="BO90" s="76" t="s">
        <v>2094</v>
      </c>
      <c r="BP90" s="82" t="str">
        <f>HYPERLINK("https://twitter.com/slavomiravac2")</f>
        <v>https://twitter.com/slavomiravac2</v>
      </c>
      <c r="BQ90" s="76" t="str">
        <f>REPLACE(INDEX(GroupVertices[Group],MATCH("~"&amp;Vertices[[#This Row],[Vertex]],GroupVertices[Vertex],0)),1,1,"")</f>
        <v>9</v>
      </c>
      <c r="BR90" s="45"/>
      <c r="BS90" s="46"/>
      <c r="BT90" s="45"/>
      <c r="BU90" s="46"/>
      <c r="BV90" s="45"/>
      <c r="BW90" s="46"/>
      <c r="BX90" s="45"/>
      <c r="BY90" s="46"/>
      <c r="BZ90" s="45"/>
      <c r="CA90" s="45"/>
      <c r="CB90" s="45"/>
      <c r="CC90" s="45"/>
      <c r="CD90" s="45"/>
      <c r="CE90" s="45"/>
      <c r="CF90" s="45"/>
      <c r="CG90" s="45"/>
      <c r="CH90" s="45"/>
      <c r="CI90" s="45"/>
      <c r="CJ90" s="45"/>
      <c r="CK90" s="2"/>
    </row>
    <row r="91" spans="1:89" ht="41.45" customHeight="1">
      <c r="A91" s="61" t="s">
        <v>373</v>
      </c>
      <c r="C91" s="62"/>
      <c r="D91" s="62" t="s">
        <v>64</v>
      </c>
      <c r="E91" s="63">
        <v>70</v>
      </c>
      <c r="F91" s="65"/>
      <c r="G91" s="101" t="str">
        <f>HYPERLINK("https://pbs.twimg.com/profile_images/1572208372040216577/MoAEzBFa_normal.jpg")</f>
        <v>https://pbs.twimg.com/profile_images/1572208372040216577/MoAEzBFa_normal.jpg</v>
      </c>
      <c r="H91" s="62"/>
      <c r="I91" s="66" t="s">
        <v>373</v>
      </c>
      <c r="J91" s="67"/>
      <c r="K91" s="67" t="s">
        <v>75</v>
      </c>
      <c r="L91" s="66" t="s">
        <v>2169</v>
      </c>
      <c r="M91" s="70">
        <v>2000.6</v>
      </c>
      <c r="N91" s="71">
        <v>3667.781982421875</v>
      </c>
      <c r="O91" s="71">
        <v>2199.880859375</v>
      </c>
      <c r="P91" s="72"/>
      <c r="Q91" s="73"/>
      <c r="R91" s="73"/>
      <c r="S91" s="87"/>
      <c r="T91" s="45">
        <v>1</v>
      </c>
      <c r="U91" s="45">
        <v>0</v>
      </c>
      <c r="V91" s="46">
        <v>0</v>
      </c>
      <c r="W91" s="46">
        <v>0.008451</v>
      </c>
      <c r="X91" s="46">
        <v>0</v>
      </c>
      <c r="Y91" s="46">
        <v>0.004267</v>
      </c>
      <c r="Z91" s="46">
        <v>0</v>
      </c>
      <c r="AA91" s="46">
        <v>0</v>
      </c>
      <c r="AB91" s="68">
        <v>78</v>
      </c>
      <c r="AC91" s="68"/>
      <c r="AD91" s="69"/>
      <c r="AE91" s="76" t="s">
        <v>1402</v>
      </c>
      <c r="AF91" s="80" t="s">
        <v>1579</v>
      </c>
      <c r="AG91" s="76">
        <v>95</v>
      </c>
      <c r="AH91" s="76">
        <v>176</v>
      </c>
      <c r="AI91" s="76">
        <v>280</v>
      </c>
      <c r="AJ91" s="76">
        <v>1</v>
      </c>
      <c r="AK91" s="76">
        <v>974</v>
      </c>
      <c r="AL91" s="76">
        <v>82</v>
      </c>
      <c r="AM91" s="76" t="b">
        <v>0</v>
      </c>
      <c r="AN91" s="78">
        <v>44824.438252314816</v>
      </c>
      <c r="AO91" s="76" t="s">
        <v>1684</v>
      </c>
      <c r="AP91" s="76" t="s">
        <v>1820</v>
      </c>
      <c r="AQ91" s="82" t="str">
        <f>HYPERLINK("https://t.co/KmAGHjSPCV")</f>
        <v>https://t.co/KmAGHjSPCV</v>
      </c>
      <c r="AR91" s="82" t="str">
        <f>HYPERLINK("https://www.instagram.com/mathew_toll/")</f>
        <v>https://www.instagram.com/mathew_toll/</v>
      </c>
      <c r="AS91" s="76" t="s">
        <v>1987</v>
      </c>
      <c r="AT91" s="76"/>
      <c r="AU91" s="76"/>
      <c r="AV91" s="76"/>
      <c r="AW91" s="76">
        <v>1.57217764932125E+18</v>
      </c>
      <c r="AX91" s="82" t="str">
        <f>HYPERLINK("https://t.co/KmAGHjSPCV")</f>
        <v>https://t.co/KmAGHjSPCV</v>
      </c>
      <c r="AY91" s="76" t="b">
        <v>0</v>
      </c>
      <c r="AZ91" s="76"/>
      <c r="BA91" s="76"/>
      <c r="BB91" s="76" t="b">
        <v>0</v>
      </c>
      <c r="BC91" s="76" t="b">
        <v>1</v>
      </c>
      <c r="BD91" s="76" t="b">
        <v>1</v>
      </c>
      <c r="BE91" s="76" t="b">
        <v>0</v>
      </c>
      <c r="BF91" s="76" t="b">
        <v>0</v>
      </c>
      <c r="BG91" s="76" t="b">
        <v>0</v>
      </c>
      <c r="BH91" s="76" t="b">
        <v>0</v>
      </c>
      <c r="BI91" s="82" t="str">
        <f>HYPERLINK("https://pbs.twimg.com/profile_banners/1572171458851532800/1671031996")</f>
        <v>https://pbs.twimg.com/profile_banners/1572171458851532800/1671031996</v>
      </c>
      <c r="BJ91" s="76"/>
      <c r="BK91" s="76" t="s">
        <v>2092</v>
      </c>
      <c r="BL91" s="76" t="b">
        <v>0</v>
      </c>
      <c r="BM91" s="76"/>
      <c r="BN91" s="76" t="s">
        <v>65</v>
      </c>
      <c r="BO91" s="76" t="s">
        <v>2094</v>
      </c>
      <c r="BP91" s="82" t="str">
        <f>HYPERLINK("https://twitter.com/toll_mathew")</f>
        <v>https://twitter.com/toll_mathew</v>
      </c>
      <c r="BQ91" s="76" t="str">
        <f>REPLACE(INDEX(GroupVertices[Group],MATCH("~"&amp;Vertices[[#This Row],[Vertex]],GroupVertices[Vertex],0)),1,1,"")</f>
        <v>9</v>
      </c>
      <c r="BR91" s="45"/>
      <c r="BS91" s="46"/>
      <c r="BT91" s="45"/>
      <c r="BU91" s="46"/>
      <c r="BV91" s="45"/>
      <c r="BW91" s="46"/>
      <c r="BX91" s="45"/>
      <c r="BY91" s="46"/>
      <c r="BZ91" s="45"/>
      <c r="CA91" s="45"/>
      <c r="CB91" s="45"/>
      <c r="CC91" s="45"/>
      <c r="CD91" s="45"/>
      <c r="CE91" s="45"/>
      <c r="CF91" s="45"/>
      <c r="CG91" s="45"/>
      <c r="CH91" s="45"/>
      <c r="CI91" s="45"/>
      <c r="CJ91" s="45"/>
      <c r="CK91" s="2"/>
    </row>
    <row r="92" spans="1:89" ht="41.45" customHeight="1">
      <c r="A92" s="61" t="s">
        <v>374</v>
      </c>
      <c r="C92" s="62"/>
      <c r="D92" s="62" t="s">
        <v>64</v>
      </c>
      <c r="E92" s="63">
        <v>70</v>
      </c>
      <c r="F92" s="65"/>
      <c r="G92" s="101" t="str">
        <f>HYPERLINK("https://pbs.twimg.com/profile_images/1524518911735074816/DKOnQwJn_normal.jpg")</f>
        <v>https://pbs.twimg.com/profile_images/1524518911735074816/DKOnQwJn_normal.jpg</v>
      </c>
      <c r="H92" s="62"/>
      <c r="I92" s="66" t="s">
        <v>374</v>
      </c>
      <c r="J92" s="67"/>
      <c r="K92" s="67" t="s">
        <v>75</v>
      </c>
      <c r="L92" s="66" t="s">
        <v>2170</v>
      </c>
      <c r="M92" s="70">
        <v>2000.6</v>
      </c>
      <c r="N92" s="71">
        <v>4181.0693359375</v>
      </c>
      <c r="O92" s="71">
        <v>2199.880859375</v>
      </c>
      <c r="P92" s="72"/>
      <c r="Q92" s="73"/>
      <c r="R92" s="73"/>
      <c r="S92" s="87"/>
      <c r="T92" s="45">
        <v>1</v>
      </c>
      <c r="U92" s="45">
        <v>0</v>
      </c>
      <c r="V92" s="46">
        <v>0</v>
      </c>
      <c r="W92" s="46">
        <v>0.008451</v>
      </c>
      <c r="X92" s="46">
        <v>0</v>
      </c>
      <c r="Y92" s="46">
        <v>0.004267</v>
      </c>
      <c r="Z92" s="46">
        <v>0</v>
      </c>
      <c r="AA92" s="46">
        <v>0</v>
      </c>
      <c r="AB92" s="68">
        <v>79</v>
      </c>
      <c r="AC92" s="68"/>
      <c r="AD92" s="69"/>
      <c r="AE92" s="76" t="s">
        <v>1403</v>
      </c>
      <c r="AF92" s="80" t="s">
        <v>1165</v>
      </c>
      <c r="AG92" s="76">
        <v>3280</v>
      </c>
      <c r="AH92" s="76">
        <v>1841</v>
      </c>
      <c r="AI92" s="76">
        <v>44585</v>
      </c>
      <c r="AJ92" s="76">
        <v>22</v>
      </c>
      <c r="AK92" s="76">
        <v>177906</v>
      </c>
      <c r="AL92" s="76">
        <v>239</v>
      </c>
      <c r="AM92" s="76" t="b">
        <v>0</v>
      </c>
      <c r="AN92" s="78">
        <v>42951.57334490741</v>
      </c>
      <c r="AO92" s="76" t="s">
        <v>1685</v>
      </c>
      <c r="AP92" s="76" t="s">
        <v>1821</v>
      </c>
      <c r="AQ92" s="82" t="str">
        <f>HYPERLINK("https://t.co/jXCdksGCYt")</f>
        <v>https://t.co/jXCdksGCYt</v>
      </c>
      <c r="AR92" s="82" t="str">
        <f>HYPERLINK("http://photos.suhlabs.com")</f>
        <v>http://photos.suhlabs.com</v>
      </c>
      <c r="AS92" s="76" t="s">
        <v>1988</v>
      </c>
      <c r="AT92" s="76"/>
      <c r="AU92" s="76"/>
      <c r="AV92" s="76"/>
      <c r="AW92" s="76">
        <v>1.75197638449761E+18</v>
      </c>
      <c r="AX92" s="82" t="str">
        <f>HYPERLINK("https://t.co/jXCdksGCYt")</f>
        <v>https://t.co/jXCdksGCYt</v>
      </c>
      <c r="AY92" s="76" t="b">
        <v>0</v>
      </c>
      <c r="AZ92" s="76"/>
      <c r="BA92" s="76"/>
      <c r="BB92" s="76" t="b">
        <v>1</v>
      </c>
      <c r="BC92" s="76" t="b">
        <v>0</v>
      </c>
      <c r="BD92" s="76" t="b">
        <v>1</v>
      </c>
      <c r="BE92" s="76" t="b">
        <v>0</v>
      </c>
      <c r="BF92" s="76" t="b">
        <v>1</v>
      </c>
      <c r="BG92" s="76" t="b">
        <v>0</v>
      </c>
      <c r="BH92" s="76" t="b">
        <v>0</v>
      </c>
      <c r="BI92" s="82" t="str">
        <f>HYPERLINK("https://pbs.twimg.com/profile_banners/893467965273759745/1706198097")</f>
        <v>https://pbs.twimg.com/profile_banners/893467965273759745/1706198097</v>
      </c>
      <c r="BJ92" s="76"/>
      <c r="BK92" s="76" t="s">
        <v>2092</v>
      </c>
      <c r="BL92" s="76" t="b">
        <v>0</v>
      </c>
      <c r="BM92" s="76"/>
      <c r="BN92" s="76" t="s">
        <v>65</v>
      </c>
      <c r="BO92" s="76" t="s">
        <v>2094</v>
      </c>
      <c r="BP92" s="82" t="str">
        <f>HYPERLINK("https://twitter.com/suhlabs")</f>
        <v>https://twitter.com/suhlabs</v>
      </c>
      <c r="BQ92" s="76" t="str">
        <f>REPLACE(INDEX(GroupVertices[Group],MATCH("~"&amp;Vertices[[#This Row],[Vertex]],GroupVertices[Vertex],0)),1,1,"")</f>
        <v>9</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258</v>
      </c>
      <c r="C93" s="62"/>
      <c r="D93" s="62" t="s">
        <v>64</v>
      </c>
      <c r="E93" s="63">
        <v>70</v>
      </c>
      <c r="F93" s="65"/>
      <c r="G93" s="101" t="str">
        <f>HYPERLINK("https://pbs.twimg.com/profile_images/1618015502860963844/km3VCwuT_normal.jpg")</f>
        <v>https://pbs.twimg.com/profile_images/1618015502860963844/km3VCwuT_normal.jpg</v>
      </c>
      <c r="H93" s="62"/>
      <c r="I93" s="66" t="s">
        <v>258</v>
      </c>
      <c r="J93" s="67"/>
      <c r="K93" s="67" t="s">
        <v>75</v>
      </c>
      <c r="L93" s="66" t="s">
        <v>2171</v>
      </c>
      <c r="M93" s="70">
        <v>2000.6</v>
      </c>
      <c r="N93" s="71">
        <v>2020.277587890625</v>
      </c>
      <c r="O93" s="71">
        <v>4052.01416015625</v>
      </c>
      <c r="P93" s="72"/>
      <c r="Q93" s="73"/>
      <c r="R93" s="73"/>
      <c r="S93" s="87"/>
      <c r="T93" s="45">
        <v>1</v>
      </c>
      <c r="U93" s="45">
        <v>1</v>
      </c>
      <c r="V93" s="46">
        <v>0</v>
      </c>
      <c r="W93" s="46">
        <v>0</v>
      </c>
      <c r="X93" s="46">
        <v>0</v>
      </c>
      <c r="Y93" s="46">
        <v>0.004673</v>
      </c>
      <c r="Z93" s="46">
        <v>0</v>
      </c>
      <c r="AA93" s="46">
        <v>0</v>
      </c>
      <c r="AB93" s="68">
        <v>80</v>
      </c>
      <c r="AC93" s="68"/>
      <c r="AD93" s="69"/>
      <c r="AE93" s="76" t="s">
        <v>1404</v>
      </c>
      <c r="AF93" s="80" t="s">
        <v>1580</v>
      </c>
      <c r="AG93" s="76">
        <v>4351</v>
      </c>
      <c r="AH93" s="76">
        <v>3967</v>
      </c>
      <c r="AI93" s="76">
        <v>8175</v>
      </c>
      <c r="AJ93" s="76">
        <v>39</v>
      </c>
      <c r="AK93" s="76">
        <v>19471</v>
      </c>
      <c r="AL93" s="76">
        <v>1947</v>
      </c>
      <c r="AM93" s="76" t="b">
        <v>0</v>
      </c>
      <c r="AN93" s="78">
        <v>40971.87701388889</v>
      </c>
      <c r="AO93" s="76" t="s">
        <v>1658</v>
      </c>
      <c r="AP93" s="76" t="s">
        <v>1822</v>
      </c>
      <c r="AQ93" s="82" t="str">
        <f>HYPERLINK("https://t.co/0RH5zxa3d3")</f>
        <v>https://t.co/0RH5zxa3d3</v>
      </c>
      <c r="AR93" s="82" t="str">
        <f>HYPERLINK("https://www.gcsaa.org/resources/regional-resources/northwest")</f>
        <v>https://www.gcsaa.org/resources/regional-resources/northwest</v>
      </c>
      <c r="AS93" s="76" t="s">
        <v>1989</v>
      </c>
      <c r="AT93" s="76"/>
      <c r="AU93" s="76"/>
      <c r="AV93" s="76"/>
      <c r="AW93" s="76"/>
      <c r="AX93" s="82" t="str">
        <f>HYPERLINK("https://t.co/0RH5zxa3d3")</f>
        <v>https://t.co/0RH5zxa3d3</v>
      </c>
      <c r="AY93" s="76" t="b">
        <v>0</v>
      </c>
      <c r="AZ93" s="76"/>
      <c r="BA93" s="76"/>
      <c r="BB93" s="76" t="b">
        <v>0</v>
      </c>
      <c r="BC93" s="76" t="b">
        <v>0</v>
      </c>
      <c r="BD93" s="76" t="b">
        <v>0</v>
      </c>
      <c r="BE93" s="76" t="b">
        <v>0</v>
      </c>
      <c r="BF93" s="76" t="b">
        <v>1</v>
      </c>
      <c r="BG93" s="76" t="b">
        <v>0</v>
      </c>
      <c r="BH93" s="76" t="b">
        <v>0</v>
      </c>
      <c r="BI93" s="82" t="str">
        <f>HYPERLINK("https://pbs.twimg.com/profile_banners/513597380/1615503268")</f>
        <v>https://pbs.twimg.com/profile_banners/513597380/1615503268</v>
      </c>
      <c r="BJ93" s="76"/>
      <c r="BK93" s="76" t="s">
        <v>2092</v>
      </c>
      <c r="BL93" s="76" t="b">
        <v>0</v>
      </c>
      <c r="BM93" s="76"/>
      <c r="BN93" s="76" t="s">
        <v>66</v>
      </c>
      <c r="BO93" s="76" t="s">
        <v>2094</v>
      </c>
      <c r="BP93" s="82" t="str">
        <f>HYPERLINK("https://twitter.com/gcsaa_nw")</f>
        <v>https://twitter.com/gcsaa_nw</v>
      </c>
      <c r="BQ93" s="76" t="str">
        <f>REPLACE(INDEX(GroupVertices[Group],MATCH("~"&amp;Vertices[[#This Row],[Vertex]],GroupVertices[Vertex],0)),1,1,"")</f>
        <v>1</v>
      </c>
      <c r="BR93" s="45">
        <v>1</v>
      </c>
      <c r="BS93" s="46">
        <v>4.3478260869565215</v>
      </c>
      <c r="BT93" s="45">
        <v>1</v>
      </c>
      <c r="BU93" s="46">
        <v>4.3478260869565215</v>
      </c>
      <c r="BV93" s="45">
        <v>0</v>
      </c>
      <c r="BW93" s="46">
        <v>0</v>
      </c>
      <c r="BX93" s="45">
        <v>10</v>
      </c>
      <c r="BY93" s="46">
        <v>43.47826086956522</v>
      </c>
      <c r="BZ93" s="45">
        <v>23</v>
      </c>
      <c r="CA93" s="45" t="s">
        <v>11002</v>
      </c>
      <c r="CB93" s="45" t="s">
        <v>11002</v>
      </c>
      <c r="CC93" s="45" t="s">
        <v>605</v>
      </c>
      <c r="CD93" s="45" t="s">
        <v>605</v>
      </c>
      <c r="CE93" s="45" t="s">
        <v>586</v>
      </c>
      <c r="CF93" s="45" t="s">
        <v>586</v>
      </c>
      <c r="CG93" s="114" t="s">
        <v>11321</v>
      </c>
      <c r="CH93" s="114" t="s">
        <v>11321</v>
      </c>
      <c r="CI93" s="114" t="s">
        <v>11450</v>
      </c>
      <c r="CJ93" s="114" t="s">
        <v>11450</v>
      </c>
      <c r="CK93" s="2"/>
    </row>
    <row r="94" spans="1:89" ht="41.45" customHeight="1">
      <c r="A94" s="61" t="s">
        <v>259</v>
      </c>
      <c r="C94" s="62"/>
      <c r="D94" s="62" t="s">
        <v>64</v>
      </c>
      <c r="E94" s="63">
        <v>70</v>
      </c>
      <c r="F94" s="65"/>
      <c r="G94" s="101" t="str">
        <f>HYPERLINK("https://pbs.twimg.com/profile_images/1523016859498385408/NR9h054S_normal.jpg")</f>
        <v>https://pbs.twimg.com/profile_images/1523016859498385408/NR9h054S_normal.jpg</v>
      </c>
      <c r="H94" s="62"/>
      <c r="I94" s="66" t="s">
        <v>259</v>
      </c>
      <c r="J94" s="67"/>
      <c r="K94" s="67" t="s">
        <v>75</v>
      </c>
      <c r="L94" s="66" t="s">
        <v>2172</v>
      </c>
      <c r="M94" s="70">
        <v>1</v>
      </c>
      <c r="N94" s="71">
        <v>2268.703369140625</v>
      </c>
      <c r="O94" s="71">
        <v>6765.47021484375</v>
      </c>
      <c r="P94" s="72"/>
      <c r="Q94" s="73"/>
      <c r="R94" s="73"/>
      <c r="S94" s="87"/>
      <c r="T94" s="45">
        <v>0</v>
      </c>
      <c r="U94" s="45">
        <v>1</v>
      </c>
      <c r="V94" s="46">
        <v>0</v>
      </c>
      <c r="W94" s="46">
        <v>0.019589</v>
      </c>
      <c r="X94" s="46">
        <v>0.052105</v>
      </c>
      <c r="Y94" s="46">
        <v>0.004242</v>
      </c>
      <c r="Z94" s="46">
        <v>0</v>
      </c>
      <c r="AA94" s="46">
        <v>0</v>
      </c>
      <c r="AB94" s="68">
        <v>81</v>
      </c>
      <c r="AC94" s="68"/>
      <c r="AD94" s="69"/>
      <c r="AE94" s="76" t="s">
        <v>1405</v>
      </c>
      <c r="AF94" s="80" t="s">
        <v>1581</v>
      </c>
      <c r="AG94" s="76">
        <v>9890</v>
      </c>
      <c r="AH94" s="76">
        <v>1846</v>
      </c>
      <c r="AI94" s="76">
        <v>26612</v>
      </c>
      <c r="AJ94" s="76">
        <v>112</v>
      </c>
      <c r="AK94" s="76">
        <v>74061</v>
      </c>
      <c r="AL94" s="76">
        <v>2538</v>
      </c>
      <c r="AM94" s="76" t="b">
        <v>0</v>
      </c>
      <c r="AN94" s="78">
        <v>41917.63317129629</v>
      </c>
      <c r="AO94" s="76" t="s">
        <v>852</v>
      </c>
      <c r="AP94" s="76" t="s">
        <v>1823</v>
      </c>
      <c r="AQ94" s="82" t="str">
        <f>HYPERLINK("https://t.co/FRrdFJxbCL")</f>
        <v>https://t.co/FRrdFJxbCL</v>
      </c>
      <c r="AR94" s="82" t="str">
        <f>HYPERLINK("http://linktr.ee/coachbalto")</f>
        <v>http://linktr.ee/coachbalto</v>
      </c>
      <c r="AS94" s="76" t="s">
        <v>1990</v>
      </c>
      <c r="AT94" s="76"/>
      <c r="AU94" s="76"/>
      <c r="AV94" s="76"/>
      <c r="AW94" s="76">
        <v>1.64874680151062E+18</v>
      </c>
      <c r="AX94" s="82" t="str">
        <f>HYPERLINK("https://t.co/FRrdFJxbCL")</f>
        <v>https://t.co/FRrdFJxbCL</v>
      </c>
      <c r="AY94" s="76" t="b">
        <v>0</v>
      </c>
      <c r="AZ94" s="76"/>
      <c r="BA94" s="76"/>
      <c r="BB94" s="76" t="b">
        <v>1</v>
      </c>
      <c r="BC94" s="76" t="b">
        <v>1</v>
      </c>
      <c r="BD94" s="76" t="b">
        <v>1</v>
      </c>
      <c r="BE94" s="76" t="b">
        <v>0</v>
      </c>
      <c r="BF94" s="76" t="b">
        <v>1</v>
      </c>
      <c r="BG94" s="76" t="b">
        <v>0</v>
      </c>
      <c r="BH94" s="76" t="b">
        <v>0</v>
      </c>
      <c r="BI94" s="82" t="str">
        <f>HYPERLINK("https://pbs.twimg.com/profile_banners/2808136894/1571115403")</f>
        <v>https://pbs.twimg.com/profile_banners/2808136894/1571115403</v>
      </c>
      <c r="BJ94" s="76"/>
      <c r="BK94" s="76" t="s">
        <v>2092</v>
      </c>
      <c r="BL94" s="76" t="b">
        <v>0</v>
      </c>
      <c r="BM94" s="76"/>
      <c r="BN94" s="76" t="s">
        <v>66</v>
      </c>
      <c r="BO94" s="76" t="s">
        <v>2094</v>
      </c>
      <c r="BP94" s="82" t="str">
        <f>HYPERLINK("https://twitter.com/coachbalto")</f>
        <v>https://twitter.com/coachbalto</v>
      </c>
      <c r="BQ94" s="76" t="str">
        <f>REPLACE(INDEX(GroupVertices[Group],MATCH("~"&amp;Vertices[[#This Row],[Vertex]],GroupVertices[Vertex],0)),1,1,"")</f>
        <v>3</v>
      </c>
      <c r="BR94" s="45">
        <v>1</v>
      </c>
      <c r="BS94" s="46">
        <v>3.3333333333333335</v>
      </c>
      <c r="BT94" s="45">
        <v>1</v>
      </c>
      <c r="BU94" s="46">
        <v>3.3333333333333335</v>
      </c>
      <c r="BV94" s="45">
        <v>0</v>
      </c>
      <c r="BW94" s="46">
        <v>0</v>
      </c>
      <c r="BX94" s="45">
        <v>16</v>
      </c>
      <c r="BY94" s="46">
        <v>53.333333333333336</v>
      </c>
      <c r="BZ94" s="45">
        <v>30</v>
      </c>
      <c r="CA94" s="45"/>
      <c r="CB94" s="45"/>
      <c r="CC94" s="45"/>
      <c r="CD94" s="45"/>
      <c r="CE94" s="45"/>
      <c r="CF94" s="45"/>
      <c r="CG94" s="114" t="s">
        <v>11322</v>
      </c>
      <c r="CH94" s="114" t="s">
        <v>11322</v>
      </c>
      <c r="CI94" s="114" t="s">
        <v>11451</v>
      </c>
      <c r="CJ94" s="114" t="s">
        <v>11451</v>
      </c>
      <c r="CK94" s="2"/>
    </row>
    <row r="95" spans="1:89" ht="41.45" customHeight="1">
      <c r="A95" s="61" t="s">
        <v>260</v>
      </c>
      <c r="C95" s="62"/>
      <c r="D95" s="62" t="s">
        <v>64</v>
      </c>
      <c r="E95" s="63">
        <v>70</v>
      </c>
      <c r="F95" s="65"/>
      <c r="G95" s="101" t="str">
        <f>HYPERLINK("https://pbs.twimg.com/profile_images/1746604526743015424/mMHfJZL9_normal.jpg")</f>
        <v>https://pbs.twimg.com/profile_images/1746604526743015424/mMHfJZL9_normal.jpg</v>
      </c>
      <c r="H95" s="62"/>
      <c r="I95" s="66" t="s">
        <v>260</v>
      </c>
      <c r="J95" s="67"/>
      <c r="K95" s="67" t="s">
        <v>75</v>
      </c>
      <c r="L95" s="66" t="s">
        <v>2174</v>
      </c>
      <c r="M95" s="70">
        <v>2000.6</v>
      </c>
      <c r="N95" s="71">
        <v>2020.277587890625</v>
      </c>
      <c r="O95" s="71">
        <v>4959.181640625</v>
      </c>
      <c r="P95" s="72"/>
      <c r="Q95" s="73"/>
      <c r="R95" s="73"/>
      <c r="S95" s="87"/>
      <c r="T95" s="45">
        <v>1</v>
      </c>
      <c r="U95" s="45">
        <v>1</v>
      </c>
      <c r="V95" s="46">
        <v>0</v>
      </c>
      <c r="W95" s="46">
        <v>0</v>
      </c>
      <c r="X95" s="46">
        <v>0</v>
      </c>
      <c r="Y95" s="46">
        <v>0.004673</v>
      </c>
      <c r="Z95" s="46">
        <v>0</v>
      </c>
      <c r="AA95" s="46">
        <v>0</v>
      </c>
      <c r="AB95" s="68">
        <v>83</v>
      </c>
      <c r="AC95" s="68"/>
      <c r="AD95" s="69"/>
      <c r="AE95" s="76" t="s">
        <v>1407</v>
      </c>
      <c r="AF95" s="80" t="s">
        <v>1583</v>
      </c>
      <c r="AG95" s="76">
        <v>759</v>
      </c>
      <c r="AH95" s="76">
        <v>552</v>
      </c>
      <c r="AI95" s="76">
        <v>38829</v>
      </c>
      <c r="AJ95" s="76">
        <v>5</v>
      </c>
      <c r="AK95" s="76">
        <v>74940</v>
      </c>
      <c r="AL95" s="76">
        <v>2296</v>
      </c>
      <c r="AM95" s="76" t="b">
        <v>0</v>
      </c>
      <c r="AN95" s="78">
        <v>41106.092939814815</v>
      </c>
      <c r="AO95" s="76" t="s">
        <v>852</v>
      </c>
      <c r="AP95" s="76" t="s">
        <v>1825</v>
      </c>
      <c r="AQ95" s="76"/>
      <c r="AR95" s="76"/>
      <c r="AS95" s="76"/>
      <c r="AT95" s="76"/>
      <c r="AU95" s="76"/>
      <c r="AV95" s="76"/>
      <c r="AW95" s="76">
        <v>1.74732861311518E+18</v>
      </c>
      <c r="AX95" s="76"/>
      <c r="AY95" s="76" t="b">
        <v>0</v>
      </c>
      <c r="AZ95" s="76"/>
      <c r="BA95" s="76"/>
      <c r="BB95" s="76" t="b">
        <v>1</v>
      </c>
      <c r="BC95" s="76" t="b">
        <v>0</v>
      </c>
      <c r="BD95" s="76" t="b">
        <v>0</v>
      </c>
      <c r="BE95" s="76" t="b">
        <v>0</v>
      </c>
      <c r="BF95" s="76" t="b">
        <v>1</v>
      </c>
      <c r="BG95" s="76" t="b">
        <v>0</v>
      </c>
      <c r="BH95" s="76" t="b">
        <v>0</v>
      </c>
      <c r="BI95" s="82" t="str">
        <f>HYPERLINK("https://pbs.twimg.com/profile_banners/636629755/1695622460")</f>
        <v>https://pbs.twimg.com/profile_banners/636629755/1695622460</v>
      </c>
      <c r="BJ95" s="76"/>
      <c r="BK95" s="76" t="s">
        <v>2092</v>
      </c>
      <c r="BL95" s="76" t="b">
        <v>0</v>
      </c>
      <c r="BM95" s="76"/>
      <c r="BN95" s="76" t="s">
        <v>66</v>
      </c>
      <c r="BO95" s="76" t="s">
        <v>2094</v>
      </c>
      <c r="BP95" s="82" t="str">
        <f>HYPERLINK("https://twitter.com/bucketyboo_96")</f>
        <v>https://twitter.com/bucketyboo_96</v>
      </c>
      <c r="BQ95" s="76" t="str">
        <f>REPLACE(INDEX(GroupVertices[Group],MATCH("~"&amp;Vertices[[#This Row],[Vertex]],GroupVertices[Vertex],0)),1,1,"")</f>
        <v>1</v>
      </c>
      <c r="BR95" s="45">
        <v>1</v>
      </c>
      <c r="BS95" s="46">
        <v>4.3478260869565215</v>
      </c>
      <c r="BT95" s="45">
        <v>2</v>
      </c>
      <c r="BU95" s="46">
        <v>8.695652173913043</v>
      </c>
      <c r="BV95" s="45">
        <v>0</v>
      </c>
      <c r="BW95" s="46">
        <v>0</v>
      </c>
      <c r="BX95" s="45">
        <v>10</v>
      </c>
      <c r="BY95" s="46">
        <v>43.47826086956522</v>
      </c>
      <c r="BZ95" s="45">
        <v>23</v>
      </c>
      <c r="CA95" s="45"/>
      <c r="CB95" s="45"/>
      <c r="CC95" s="45"/>
      <c r="CD95" s="45"/>
      <c r="CE95" s="45"/>
      <c r="CF95" s="45"/>
      <c r="CG95" s="114" t="s">
        <v>11324</v>
      </c>
      <c r="CH95" s="114" t="s">
        <v>11324</v>
      </c>
      <c r="CI95" s="114" t="s">
        <v>11453</v>
      </c>
      <c r="CJ95" s="114" t="s">
        <v>11453</v>
      </c>
      <c r="CK95" s="2"/>
    </row>
    <row r="96" spans="1:89" ht="41.45" customHeight="1">
      <c r="A96" s="61" t="s">
        <v>261</v>
      </c>
      <c r="C96" s="62"/>
      <c r="D96" s="62" t="s">
        <v>64</v>
      </c>
      <c r="E96" s="63">
        <v>70</v>
      </c>
      <c r="F96" s="65"/>
      <c r="G96" s="101" t="str">
        <f>HYPERLINK("https://pbs.twimg.com/profile_images/1751807777172070400/GsQe2T-m_normal.jpg")</f>
        <v>https://pbs.twimg.com/profile_images/1751807777172070400/GsQe2T-m_normal.jpg</v>
      </c>
      <c r="H96" s="62"/>
      <c r="I96" s="66" t="s">
        <v>261</v>
      </c>
      <c r="J96" s="67"/>
      <c r="K96" s="67" t="s">
        <v>75</v>
      </c>
      <c r="L96" s="66" t="s">
        <v>2175</v>
      </c>
      <c r="M96" s="70">
        <v>2000.6</v>
      </c>
      <c r="N96" s="71">
        <v>1577.314697265625</v>
      </c>
      <c r="O96" s="71">
        <v>4959.181640625</v>
      </c>
      <c r="P96" s="72"/>
      <c r="Q96" s="73"/>
      <c r="R96" s="73"/>
      <c r="S96" s="87"/>
      <c r="T96" s="45">
        <v>1</v>
      </c>
      <c r="U96" s="45">
        <v>1</v>
      </c>
      <c r="V96" s="46">
        <v>0</v>
      </c>
      <c r="W96" s="46">
        <v>0</v>
      </c>
      <c r="X96" s="46">
        <v>0</v>
      </c>
      <c r="Y96" s="46">
        <v>0.004673</v>
      </c>
      <c r="Z96" s="46">
        <v>0</v>
      </c>
      <c r="AA96" s="46">
        <v>0</v>
      </c>
      <c r="AB96" s="68">
        <v>84</v>
      </c>
      <c r="AC96" s="68"/>
      <c r="AD96" s="69"/>
      <c r="AE96" s="76" t="s">
        <v>1408</v>
      </c>
      <c r="AF96" s="80" t="s">
        <v>1253</v>
      </c>
      <c r="AG96" s="76">
        <v>162</v>
      </c>
      <c r="AH96" s="76">
        <v>481</v>
      </c>
      <c r="AI96" s="76">
        <v>39519</v>
      </c>
      <c r="AJ96" s="76">
        <v>3</v>
      </c>
      <c r="AK96" s="76">
        <v>53631</v>
      </c>
      <c r="AL96" s="76">
        <v>1349</v>
      </c>
      <c r="AM96" s="76" t="b">
        <v>0</v>
      </c>
      <c r="AN96" s="78">
        <v>43868.99488425926</v>
      </c>
      <c r="AO96" s="76" t="s">
        <v>1687</v>
      </c>
      <c r="AP96" s="76" t="s">
        <v>1826</v>
      </c>
      <c r="AQ96" s="76"/>
      <c r="AR96" s="76"/>
      <c r="AS96" s="76"/>
      <c r="AT96" s="76"/>
      <c r="AU96" s="76"/>
      <c r="AV96" s="76"/>
      <c r="AW96" s="76">
        <v>1.74477180437436E+18</v>
      </c>
      <c r="AX96" s="76"/>
      <c r="AY96" s="76" t="b">
        <v>0</v>
      </c>
      <c r="AZ96" s="76"/>
      <c r="BA96" s="76"/>
      <c r="BB96" s="76" t="b">
        <v>0</v>
      </c>
      <c r="BC96" s="76" t="b">
        <v>0</v>
      </c>
      <c r="BD96" s="76" t="b">
        <v>1</v>
      </c>
      <c r="BE96" s="76" t="b">
        <v>0</v>
      </c>
      <c r="BF96" s="76" t="b">
        <v>1</v>
      </c>
      <c r="BG96" s="76" t="b">
        <v>0</v>
      </c>
      <c r="BH96" s="76" t="b">
        <v>0</v>
      </c>
      <c r="BI96" s="82" t="str">
        <f>HYPERLINK("https://pbs.twimg.com/profile_banners/1225930234819559424/1690593560")</f>
        <v>https://pbs.twimg.com/profile_banners/1225930234819559424/1690593560</v>
      </c>
      <c r="BJ96" s="76"/>
      <c r="BK96" s="76" t="s">
        <v>2092</v>
      </c>
      <c r="BL96" s="76" t="b">
        <v>0</v>
      </c>
      <c r="BM96" s="76"/>
      <c r="BN96" s="76" t="s">
        <v>66</v>
      </c>
      <c r="BO96" s="76" t="s">
        <v>2094</v>
      </c>
      <c r="BP96" s="82" t="str">
        <f>HYPERLINK("https://twitter.com/anniesong62")</f>
        <v>https://twitter.com/anniesong62</v>
      </c>
      <c r="BQ96" s="76" t="str">
        <f>REPLACE(INDEX(GroupVertices[Group],MATCH("~"&amp;Vertices[[#This Row],[Vertex]],GroupVertices[Vertex],0)),1,1,"")</f>
        <v>1</v>
      </c>
      <c r="BR96" s="45">
        <v>1</v>
      </c>
      <c r="BS96" s="46">
        <v>2.4390243902439024</v>
      </c>
      <c r="BT96" s="45">
        <v>5</v>
      </c>
      <c r="BU96" s="46">
        <v>12.195121951219512</v>
      </c>
      <c r="BV96" s="45">
        <v>0</v>
      </c>
      <c r="BW96" s="46">
        <v>0</v>
      </c>
      <c r="BX96" s="45">
        <v>21</v>
      </c>
      <c r="BY96" s="46">
        <v>51.21951219512195</v>
      </c>
      <c r="BZ96" s="45">
        <v>41</v>
      </c>
      <c r="CA96" s="45"/>
      <c r="CB96" s="45"/>
      <c r="CC96" s="45"/>
      <c r="CD96" s="45"/>
      <c r="CE96" s="45" t="s">
        <v>587</v>
      </c>
      <c r="CF96" s="45" t="s">
        <v>11276</v>
      </c>
      <c r="CG96" s="114" t="s">
        <v>11325</v>
      </c>
      <c r="CH96" s="114" t="s">
        <v>11325</v>
      </c>
      <c r="CI96" s="114" t="s">
        <v>11454</v>
      </c>
      <c r="CJ96" s="114" t="s">
        <v>11454</v>
      </c>
      <c r="CK96" s="2"/>
    </row>
    <row r="97" spans="1:89" ht="41.45" customHeight="1">
      <c r="A97" s="61" t="s">
        <v>262</v>
      </c>
      <c r="C97" s="62"/>
      <c r="D97" s="62" t="s">
        <v>64</v>
      </c>
      <c r="E97" s="63">
        <v>70</v>
      </c>
      <c r="F97" s="65"/>
      <c r="G97" s="101" t="str">
        <f>HYPERLINK("https://pbs.twimg.com/profile_images/805548263352848384/bpQMzqgY_normal.jpg")</f>
        <v>https://pbs.twimg.com/profile_images/805548263352848384/bpQMzqgY_normal.jpg</v>
      </c>
      <c r="H97" s="62"/>
      <c r="I97" s="66" t="s">
        <v>262</v>
      </c>
      <c r="J97" s="67"/>
      <c r="K97" s="67" t="s">
        <v>75</v>
      </c>
      <c r="L97" s="66" t="s">
        <v>2176</v>
      </c>
      <c r="M97" s="70">
        <v>1</v>
      </c>
      <c r="N97" s="71">
        <v>6327.85009765625</v>
      </c>
      <c r="O97" s="71">
        <v>1040.7225341796875</v>
      </c>
      <c r="P97" s="72"/>
      <c r="Q97" s="73"/>
      <c r="R97" s="73"/>
      <c r="S97" s="87"/>
      <c r="T97" s="45">
        <v>0</v>
      </c>
      <c r="U97" s="45">
        <v>1</v>
      </c>
      <c r="V97" s="46">
        <v>0</v>
      </c>
      <c r="W97" s="46">
        <v>0.004695</v>
      </c>
      <c r="X97" s="46">
        <v>0</v>
      </c>
      <c r="Y97" s="46">
        <v>0.004673</v>
      </c>
      <c r="Z97" s="46">
        <v>0</v>
      </c>
      <c r="AA97" s="46">
        <v>0</v>
      </c>
      <c r="AB97" s="68">
        <v>85</v>
      </c>
      <c r="AC97" s="68"/>
      <c r="AD97" s="69"/>
      <c r="AE97" s="76" t="s">
        <v>1409</v>
      </c>
      <c r="AF97" s="80" t="s">
        <v>1584</v>
      </c>
      <c r="AG97" s="76">
        <v>20339</v>
      </c>
      <c r="AH97" s="76">
        <v>400</v>
      </c>
      <c r="AI97" s="76">
        <v>32562</v>
      </c>
      <c r="AJ97" s="76">
        <v>979</v>
      </c>
      <c r="AK97" s="76">
        <v>21147</v>
      </c>
      <c r="AL97" s="76">
        <v>1115</v>
      </c>
      <c r="AM97" s="76" t="b">
        <v>0</v>
      </c>
      <c r="AN97" s="78">
        <v>39463.80849537037</v>
      </c>
      <c r="AO97" s="76" t="s">
        <v>852</v>
      </c>
      <c r="AP97" s="76" t="s">
        <v>1827</v>
      </c>
      <c r="AQ97" s="82" t="str">
        <f>HYPERLINK("https://t.co/ht4OB3pkVy")</f>
        <v>https://t.co/ht4OB3pkVy</v>
      </c>
      <c r="AR97" s="82" t="str">
        <f>HYPERLINK("https://www.coldeye.earth")</f>
        <v>https://www.coldeye.earth</v>
      </c>
      <c r="AS97" s="76" t="s">
        <v>1992</v>
      </c>
      <c r="AT97" s="76"/>
      <c r="AU97" s="76"/>
      <c r="AV97" s="76"/>
      <c r="AW97" s="76">
        <v>1.74515650874331E+18</v>
      </c>
      <c r="AX97" s="82" t="str">
        <f>HYPERLINK("https://t.co/ht4OB3pkVy")</f>
        <v>https://t.co/ht4OB3pkVy</v>
      </c>
      <c r="AY97" s="76" t="b">
        <v>0</v>
      </c>
      <c r="AZ97" s="76"/>
      <c r="BA97" s="76"/>
      <c r="BB97" s="76" t="b">
        <v>1</v>
      </c>
      <c r="BC97" s="76" t="b">
        <v>0</v>
      </c>
      <c r="BD97" s="76" t="b">
        <v>0</v>
      </c>
      <c r="BE97" s="76" t="b">
        <v>0</v>
      </c>
      <c r="BF97" s="76" t="b">
        <v>1</v>
      </c>
      <c r="BG97" s="76" t="b">
        <v>0</v>
      </c>
      <c r="BH97" s="76" t="b">
        <v>0</v>
      </c>
      <c r="BI97" s="82" t="str">
        <f>HYPERLINK("https://pbs.twimg.com/profile_banners/12329252/1704063779")</f>
        <v>https://pbs.twimg.com/profile_banners/12329252/1704063779</v>
      </c>
      <c r="BJ97" s="76"/>
      <c r="BK97" s="76" t="s">
        <v>2092</v>
      </c>
      <c r="BL97" s="76" t="b">
        <v>0</v>
      </c>
      <c r="BM97" s="76"/>
      <c r="BN97" s="76" t="s">
        <v>66</v>
      </c>
      <c r="BO97" s="76" t="s">
        <v>2094</v>
      </c>
      <c r="BP97" s="82" t="str">
        <f>HYPERLINK("https://twitter.com/gregormacdonald")</f>
        <v>https://twitter.com/gregormacdonald</v>
      </c>
      <c r="BQ97" s="76" t="str">
        <f>REPLACE(INDEX(GroupVertices[Group],MATCH("~"&amp;Vertices[[#This Row],[Vertex]],GroupVertices[Vertex],0)),1,1,"")</f>
        <v>56</v>
      </c>
      <c r="BR97" s="45">
        <v>0</v>
      </c>
      <c r="BS97" s="46">
        <v>0</v>
      </c>
      <c r="BT97" s="45">
        <v>2</v>
      </c>
      <c r="BU97" s="46">
        <v>3.9215686274509802</v>
      </c>
      <c r="BV97" s="45">
        <v>0</v>
      </c>
      <c r="BW97" s="46">
        <v>0</v>
      </c>
      <c r="BX97" s="45">
        <v>22</v>
      </c>
      <c r="BY97" s="46">
        <v>43.13725490196079</v>
      </c>
      <c r="BZ97" s="45">
        <v>51</v>
      </c>
      <c r="CA97" s="45"/>
      <c r="CB97" s="45"/>
      <c r="CC97" s="45"/>
      <c r="CD97" s="45"/>
      <c r="CE97" s="45"/>
      <c r="CF97" s="45"/>
      <c r="CG97" s="114" t="s">
        <v>11326</v>
      </c>
      <c r="CH97" s="114" t="s">
        <v>11326</v>
      </c>
      <c r="CI97" s="114" t="s">
        <v>11455</v>
      </c>
      <c r="CJ97" s="114" t="s">
        <v>11455</v>
      </c>
      <c r="CK97" s="2"/>
    </row>
    <row r="98" spans="1:89" ht="41.45" customHeight="1">
      <c r="A98" s="61" t="s">
        <v>375</v>
      </c>
      <c r="C98" s="62"/>
      <c r="D98" s="62" t="s">
        <v>64</v>
      </c>
      <c r="E98" s="63">
        <v>70</v>
      </c>
      <c r="F98" s="65"/>
      <c r="G98" s="101" t="str">
        <f>HYPERLINK("https://pbs.twimg.com/profile_images/1252037905947688960/3twbVvIY_normal.jpg")</f>
        <v>https://pbs.twimg.com/profile_images/1252037905947688960/3twbVvIY_normal.jpg</v>
      </c>
      <c r="H98" s="62"/>
      <c r="I98" s="66" t="s">
        <v>375</v>
      </c>
      <c r="J98" s="67"/>
      <c r="K98" s="67" t="s">
        <v>75</v>
      </c>
      <c r="L98" s="66" t="s">
        <v>2177</v>
      </c>
      <c r="M98" s="70">
        <v>2000.6</v>
      </c>
      <c r="N98" s="71">
        <v>6327.85009765625</v>
      </c>
      <c r="O98" s="71">
        <v>380.50628662109375</v>
      </c>
      <c r="P98" s="72"/>
      <c r="Q98" s="73"/>
      <c r="R98" s="73"/>
      <c r="S98" s="87"/>
      <c r="T98" s="45">
        <v>1</v>
      </c>
      <c r="U98" s="45">
        <v>0</v>
      </c>
      <c r="V98" s="46">
        <v>0</v>
      </c>
      <c r="W98" s="46">
        <v>0.004695</v>
      </c>
      <c r="X98" s="46">
        <v>0</v>
      </c>
      <c r="Y98" s="46">
        <v>0.004673</v>
      </c>
      <c r="Z98" s="46">
        <v>0</v>
      </c>
      <c r="AA98" s="46">
        <v>0</v>
      </c>
      <c r="AB98" s="68">
        <v>86</v>
      </c>
      <c r="AC98" s="68"/>
      <c r="AD98" s="69"/>
      <c r="AE98" s="76" t="s">
        <v>1410</v>
      </c>
      <c r="AF98" s="80" t="s">
        <v>1166</v>
      </c>
      <c r="AG98" s="76">
        <v>1367</v>
      </c>
      <c r="AH98" s="76">
        <v>815</v>
      </c>
      <c r="AI98" s="76">
        <v>6580</v>
      </c>
      <c r="AJ98" s="76">
        <v>41</v>
      </c>
      <c r="AK98" s="76">
        <v>12763</v>
      </c>
      <c r="AL98" s="76">
        <v>712</v>
      </c>
      <c r="AM98" s="76" t="b">
        <v>0</v>
      </c>
      <c r="AN98" s="78">
        <v>43777.757372685184</v>
      </c>
      <c r="AO98" s="76"/>
      <c r="AP98" s="76" t="s">
        <v>1828</v>
      </c>
      <c r="AQ98" s="82" t="str">
        <f>HYPERLINK("https://t.co/VLFPYR4Zdp")</f>
        <v>https://t.co/VLFPYR4Zdp</v>
      </c>
      <c r="AR98" s="82" t="str">
        <f>HYPERLINK("https://redbuckman.substack.com/")</f>
        <v>https://redbuckman.substack.com/</v>
      </c>
      <c r="AS98" s="76" t="s">
        <v>1993</v>
      </c>
      <c r="AT98" s="76"/>
      <c r="AU98" s="76"/>
      <c r="AV98" s="76"/>
      <c r="AW98" s="76"/>
      <c r="AX98" s="82" t="str">
        <f>HYPERLINK("https://t.co/VLFPYR4Zdp")</f>
        <v>https://t.co/VLFPYR4Zdp</v>
      </c>
      <c r="AY98" s="76" t="b">
        <v>0</v>
      </c>
      <c r="AZ98" s="76"/>
      <c r="BA98" s="76"/>
      <c r="BB98" s="76" t="b">
        <v>1</v>
      </c>
      <c r="BC98" s="76" t="b">
        <v>1</v>
      </c>
      <c r="BD98" s="76" t="b">
        <v>1</v>
      </c>
      <c r="BE98" s="76" t="b">
        <v>0</v>
      </c>
      <c r="BF98" s="76" t="b">
        <v>1</v>
      </c>
      <c r="BG98" s="76" t="b">
        <v>0</v>
      </c>
      <c r="BH98" s="76" t="b">
        <v>0</v>
      </c>
      <c r="BI98" s="82" t="str">
        <f>HYPERLINK("https://pbs.twimg.com/profile_banners/1192866949375639552/1573237385")</f>
        <v>https://pbs.twimg.com/profile_banners/1192866949375639552/1573237385</v>
      </c>
      <c r="BJ98" s="76"/>
      <c r="BK98" s="76" t="s">
        <v>2092</v>
      </c>
      <c r="BL98" s="76" t="b">
        <v>0</v>
      </c>
      <c r="BM98" s="76"/>
      <c r="BN98" s="76" t="s">
        <v>65</v>
      </c>
      <c r="BO98" s="76" t="s">
        <v>2094</v>
      </c>
      <c r="BP98" s="82" t="str">
        <f>HYPERLINK("https://twitter.com/redbuckman")</f>
        <v>https://twitter.com/redbuckman</v>
      </c>
      <c r="BQ98" s="76" t="str">
        <f>REPLACE(INDEX(GroupVertices[Group],MATCH("~"&amp;Vertices[[#This Row],[Vertex]],GroupVertices[Vertex],0)),1,1,"")</f>
        <v>56</v>
      </c>
      <c r="BR98" s="45"/>
      <c r="BS98" s="46"/>
      <c r="BT98" s="45"/>
      <c r="BU98" s="46"/>
      <c r="BV98" s="45"/>
      <c r="BW98" s="46"/>
      <c r="BX98" s="45"/>
      <c r="BY98" s="46"/>
      <c r="BZ98" s="45"/>
      <c r="CA98" s="45"/>
      <c r="CB98" s="45"/>
      <c r="CC98" s="45"/>
      <c r="CD98" s="45"/>
      <c r="CE98" s="45"/>
      <c r="CF98" s="45"/>
      <c r="CG98" s="45"/>
      <c r="CH98" s="45"/>
      <c r="CI98" s="45"/>
      <c r="CJ98" s="45"/>
      <c r="CK98" s="2"/>
    </row>
    <row r="99" spans="1:89" ht="41.45" customHeight="1">
      <c r="A99" s="61" t="s">
        <v>263</v>
      </c>
      <c r="C99" s="62"/>
      <c r="D99" s="62" t="s">
        <v>64</v>
      </c>
      <c r="E99" s="63">
        <v>70</v>
      </c>
      <c r="F99" s="65"/>
      <c r="G99" s="101" t="str">
        <f>HYPERLINK("https://pbs.twimg.com/profile_images/1360505129548435458/8BWst4aF_normal.jpg")</f>
        <v>https://pbs.twimg.com/profile_images/1360505129548435458/8BWst4aF_normal.jpg</v>
      </c>
      <c r="H99" s="62"/>
      <c r="I99" s="66" t="s">
        <v>263</v>
      </c>
      <c r="J99" s="67"/>
      <c r="K99" s="67" t="s">
        <v>75</v>
      </c>
      <c r="L99" s="66" t="s">
        <v>2178</v>
      </c>
      <c r="M99" s="70">
        <v>1</v>
      </c>
      <c r="N99" s="71">
        <v>643.7718505859375</v>
      </c>
      <c r="O99" s="71">
        <v>2346.997802734375</v>
      </c>
      <c r="P99" s="72"/>
      <c r="Q99" s="73"/>
      <c r="R99" s="73"/>
      <c r="S99" s="87"/>
      <c r="T99" s="45">
        <v>0</v>
      </c>
      <c r="U99" s="45">
        <v>1</v>
      </c>
      <c r="V99" s="46">
        <v>0</v>
      </c>
      <c r="W99" s="46">
        <v>0.016901</v>
      </c>
      <c r="X99" s="46">
        <v>0</v>
      </c>
      <c r="Y99" s="46">
        <v>0.004166</v>
      </c>
      <c r="Z99" s="46">
        <v>0</v>
      </c>
      <c r="AA99" s="46">
        <v>0</v>
      </c>
      <c r="AB99" s="68">
        <v>87</v>
      </c>
      <c r="AC99" s="68"/>
      <c r="AD99" s="69"/>
      <c r="AE99" s="76" t="s">
        <v>1411</v>
      </c>
      <c r="AF99" s="80" t="s">
        <v>1254</v>
      </c>
      <c r="AG99" s="76">
        <v>159</v>
      </c>
      <c r="AH99" s="76">
        <v>454</v>
      </c>
      <c r="AI99" s="76">
        <v>2663</v>
      </c>
      <c r="AJ99" s="76">
        <v>2</v>
      </c>
      <c r="AK99" s="76">
        <v>4899</v>
      </c>
      <c r="AL99" s="76">
        <v>143</v>
      </c>
      <c r="AM99" s="76" t="b">
        <v>0</v>
      </c>
      <c r="AN99" s="78">
        <v>42821.11832175926</v>
      </c>
      <c r="AO99" s="76" t="s">
        <v>852</v>
      </c>
      <c r="AP99" s="76" t="s">
        <v>1829</v>
      </c>
      <c r="AQ99" s="76"/>
      <c r="AR99" s="76"/>
      <c r="AS99" s="76"/>
      <c r="AT99" s="76"/>
      <c r="AU99" s="76"/>
      <c r="AV99" s="76"/>
      <c r="AW99" s="76"/>
      <c r="AX99" s="76"/>
      <c r="AY99" s="76" t="b">
        <v>0</v>
      </c>
      <c r="AZ99" s="76"/>
      <c r="BA99" s="76"/>
      <c r="BB99" s="76" t="b">
        <v>0</v>
      </c>
      <c r="BC99" s="76" t="b">
        <v>0</v>
      </c>
      <c r="BD99" s="76" t="b">
        <v>1</v>
      </c>
      <c r="BE99" s="76" t="b">
        <v>0</v>
      </c>
      <c r="BF99" s="76" t="b">
        <v>0</v>
      </c>
      <c r="BG99" s="76" t="b">
        <v>0</v>
      </c>
      <c r="BH99" s="76" t="b">
        <v>0</v>
      </c>
      <c r="BI99" s="76"/>
      <c r="BJ99" s="76"/>
      <c r="BK99" s="76" t="s">
        <v>2092</v>
      </c>
      <c r="BL99" s="76" t="b">
        <v>0</v>
      </c>
      <c r="BM99" s="76"/>
      <c r="BN99" s="76" t="s">
        <v>66</v>
      </c>
      <c r="BO99" s="76" t="s">
        <v>2094</v>
      </c>
      <c r="BP99" s="82" t="str">
        <f>HYPERLINK("https://twitter.com/stumptowngrrl")</f>
        <v>https://twitter.com/stumptowngrrl</v>
      </c>
      <c r="BQ99" s="76" t="str">
        <f>REPLACE(INDEX(GroupVertices[Group],MATCH("~"&amp;Vertices[[#This Row],[Vertex]],GroupVertices[Vertex],0)),1,1,"")</f>
        <v>2</v>
      </c>
      <c r="BR99" s="45">
        <v>0</v>
      </c>
      <c r="BS99" s="46">
        <v>0</v>
      </c>
      <c r="BT99" s="45">
        <v>2</v>
      </c>
      <c r="BU99" s="46">
        <v>6.896551724137931</v>
      </c>
      <c r="BV99" s="45">
        <v>0</v>
      </c>
      <c r="BW99" s="46">
        <v>0</v>
      </c>
      <c r="BX99" s="45">
        <v>17</v>
      </c>
      <c r="BY99" s="46">
        <v>58.62068965517241</v>
      </c>
      <c r="BZ99" s="45">
        <v>29</v>
      </c>
      <c r="CA99" s="45"/>
      <c r="CB99" s="45"/>
      <c r="CC99" s="45"/>
      <c r="CD99" s="45"/>
      <c r="CE99" s="45"/>
      <c r="CF99" s="45"/>
      <c r="CG99" s="114" t="s">
        <v>11327</v>
      </c>
      <c r="CH99" s="114" t="s">
        <v>11327</v>
      </c>
      <c r="CI99" s="114" t="s">
        <v>11456</v>
      </c>
      <c r="CJ99" s="114" t="s">
        <v>11456</v>
      </c>
      <c r="CK99" s="2"/>
    </row>
    <row r="100" spans="1:89" ht="41.45" customHeight="1">
      <c r="A100" s="61" t="s">
        <v>264</v>
      </c>
      <c r="C100" s="62"/>
      <c r="D100" s="62" t="s">
        <v>64</v>
      </c>
      <c r="E100" s="63">
        <v>70</v>
      </c>
      <c r="F100" s="65"/>
      <c r="G100" s="101" t="str">
        <f>HYPERLINK("https://pbs.twimg.com/profile_images/1743398343626342400/puH3vfCb_normal.jpg")</f>
        <v>https://pbs.twimg.com/profile_images/1743398343626342400/puH3vfCb_normal.jpg</v>
      </c>
      <c r="H100" s="62"/>
      <c r="I100" s="66" t="s">
        <v>264</v>
      </c>
      <c r="J100" s="67"/>
      <c r="K100" s="67" t="s">
        <v>75</v>
      </c>
      <c r="L100" s="66" t="s">
        <v>2179</v>
      </c>
      <c r="M100" s="70">
        <v>2000.6</v>
      </c>
      <c r="N100" s="71">
        <v>691.3887329101562</v>
      </c>
      <c r="O100" s="71">
        <v>4052.01416015625</v>
      </c>
      <c r="P100" s="72"/>
      <c r="Q100" s="73"/>
      <c r="R100" s="73"/>
      <c r="S100" s="87"/>
      <c r="T100" s="45">
        <v>1</v>
      </c>
      <c r="U100" s="45">
        <v>1</v>
      </c>
      <c r="V100" s="46">
        <v>0</v>
      </c>
      <c r="W100" s="46">
        <v>0</v>
      </c>
      <c r="X100" s="46">
        <v>0</v>
      </c>
      <c r="Y100" s="46">
        <v>0.004673</v>
      </c>
      <c r="Z100" s="46">
        <v>0</v>
      </c>
      <c r="AA100" s="46">
        <v>0</v>
      </c>
      <c r="AB100" s="68">
        <v>88</v>
      </c>
      <c r="AC100" s="68"/>
      <c r="AD100" s="69"/>
      <c r="AE100" s="76" t="s">
        <v>1412</v>
      </c>
      <c r="AF100" s="80" t="s">
        <v>1167</v>
      </c>
      <c r="AG100" s="76">
        <v>1189</v>
      </c>
      <c r="AH100" s="76">
        <v>4334</v>
      </c>
      <c r="AI100" s="76">
        <v>23606</v>
      </c>
      <c r="AJ100" s="76">
        <v>7</v>
      </c>
      <c r="AK100" s="76">
        <v>49831</v>
      </c>
      <c r="AL100" s="76">
        <v>7996</v>
      </c>
      <c r="AM100" s="76" t="b">
        <v>0</v>
      </c>
      <c r="AN100" s="78">
        <v>42737.099178240744</v>
      </c>
      <c r="AO100" s="76" t="s">
        <v>852</v>
      </c>
      <c r="AP100" s="76" t="s">
        <v>1830</v>
      </c>
      <c r="AQ100" s="76"/>
      <c r="AR100" s="76"/>
      <c r="AS100" s="76"/>
      <c r="AT100" s="76"/>
      <c r="AU100" s="76"/>
      <c r="AV100" s="76"/>
      <c r="AW100" s="76">
        <v>1.75001780159792E+18</v>
      </c>
      <c r="AX100" s="76"/>
      <c r="AY100" s="76" t="b">
        <v>0</v>
      </c>
      <c r="AZ100" s="76"/>
      <c r="BA100" s="76"/>
      <c r="BB100" s="76" t="b">
        <v>0</v>
      </c>
      <c r="BC100" s="76" t="b">
        <v>1</v>
      </c>
      <c r="BD100" s="76" t="b">
        <v>0</v>
      </c>
      <c r="BE100" s="76" t="b">
        <v>0</v>
      </c>
      <c r="BF100" s="76" t="b">
        <v>1</v>
      </c>
      <c r="BG100" s="76" t="b">
        <v>0</v>
      </c>
      <c r="BH100" s="76" t="b">
        <v>0</v>
      </c>
      <c r="BI100" s="82" t="str">
        <f>HYPERLINK("https://pbs.twimg.com/profile_banners/815745130078445568/1705617703")</f>
        <v>https://pbs.twimg.com/profile_banners/815745130078445568/1705617703</v>
      </c>
      <c r="BJ100" s="76"/>
      <c r="BK100" s="76" t="s">
        <v>2092</v>
      </c>
      <c r="BL100" s="76" t="b">
        <v>0</v>
      </c>
      <c r="BM100" s="76"/>
      <c r="BN100" s="76" t="s">
        <v>66</v>
      </c>
      <c r="BO100" s="76" t="s">
        <v>2094</v>
      </c>
      <c r="BP100" s="82" t="str">
        <f>HYPERLINK("https://twitter.com/aquabluelounge")</f>
        <v>https://twitter.com/aquabluelounge</v>
      </c>
      <c r="BQ100" s="76" t="str">
        <f>REPLACE(INDEX(GroupVertices[Group],MATCH("~"&amp;Vertices[[#This Row],[Vertex]],GroupVertices[Vertex],0)),1,1,"")</f>
        <v>1</v>
      </c>
      <c r="BR100" s="45">
        <v>0</v>
      </c>
      <c r="BS100" s="46">
        <v>0</v>
      </c>
      <c r="BT100" s="45">
        <v>3</v>
      </c>
      <c r="BU100" s="46">
        <v>18.75</v>
      </c>
      <c r="BV100" s="45">
        <v>0</v>
      </c>
      <c r="BW100" s="46">
        <v>0</v>
      </c>
      <c r="BX100" s="45">
        <v>11</v>
      </c>
      <c r="BY100" s="46">
        <v>68.75</v>
      </c>
      <c r="BZ100" s="45">
        <v>16</v>
      </c>
      <c r="CA100" s="45" t="s">
        <v>11003</v>
      </c>
      <c r="CB100" s="45" t="s">
        <v>11003</v>
      </c>
      <c r="CC100" s="45" t="s">
        <v>606</v>
      </c>
      <c r="CD100" s="45" t="s">
        <v>606</v>
      </c>
      <c r="CE100" s="45"/>
      <c r="CF100" s="45"/>
      <c r="CG100" s="114" t="s">
        <v>11328</v>
      </c>
      <c r="CH100" s="114" t="s">
        <v>11328</v>
      </c>
      <c r="CI100" s="114" t="s">
        <v>11457</v>
      </c>
      <c r="CJ100" s="114" t="s">
        <v>11457</v>
      </c>
      <c r="CK100" s="2"/>
    </row>
    <row r="101" spans="1:89" ht="41.45" customHeight="1">
      <c r="A101" s="61" t="s">
        <v>266</v>
      </c>
      <c r="C101" s="62"/>
      <c r="D101" s="62" t="s">
        <v>64</v>
      </c>
      <c r="E101" s="63">
        <v>70</v>
      </c>
      <c r="F101" s="65"/>
      <c r="G101" s="101" t="str">
        <f>HYPERLINK("https://pbs.twimg.com/profile_images/1745285983845933056/Vt_MUDXB_normal.jpg")</f>
        <v>https://pbs.twimg.com/profile_images/1745285983845933056/Vt_MUDXB_normal.jpg</v>
      </c>
      <c r="H101" s="62"/>
      <c r="I101" s="66" t="s">
        <v>266</v>
      </c>
      <c r="J101" s="67"/>
      <c r="K101" s="67" t="s">
        <v>75</v>
      </c>
      <c r="L101" s="66" t="s">
        <v>2182</v>
      </c>
      <c r="M101" s="70">
        <v>1</v>
      </c>
      <c r="N101" s="71">
        <v>6993.3720703125</v>
      </c>
      <c r="O101" s="71">
        <v>6513.9658203125</v>
      </c>
      <c r="P101" s="72"/>
      <c r="Q101" s="73"/>
      <c r="R101" s="73"/>
      <c r="S101" s="87"/>
      <c r="T101" s="45">
        <v>0</v>
      </c>
      <c r="U101" s="45">
        <v>1</v>
      </c>
      <c r="V101" s="46">
        <v>0</v>
      </c>
      <c r="W101" s="46">
        <v>0.004695</v>
      </c>
      <c r="X101" s="46">
        <v>0</v>
      </c>
      <c r="Y101" s="46">
        <v>0.004673</v>
      </c>
      <c r="Z101" s="46">
        <v>0</v>
      </c>
      <c r="AA101" s="46">
        <v>0</v>
      </c>
      <c r="AB101" s="68">
        <v>91</v>
      </c>
      <c r="AC101" s="68"/>
      <c r="AD101" s="69"/>
      <c r="AE101" s="76" t="s">
        <v>1415</v>
      </c>
      <c r="AF101" s="80" t="s">
        <v>1586</v>
      </c>
      <c r="AG101" s="76">
        <v>795</v>
      </c>
      <c r="AH101" s="76">
        <v>1119</v>
      </c>
      <c r="AI101" s="76">
        <v>8836</v>
      </c>
      <c r="AJ101" s="76">
        <v>8</v>
      </c>
      <c r="AK101" s="76">
        <v>64604</v>
      </c>
      <c r="AL101" s="76">
        <v>200</v>
      </c>
      <c r="AM101" s="76" t="b">
        <v>0</v>
      </c>
      <c r="AN101" s="78">
        <v>40586.0044212963</v>
      </c>
      <c r="AO101" s="76" t="s">
        <v>896</v>
      </c>
      <c r="AP101" s="76" t="s">
        <v>1833</v>
      </c>
      <c r="AQ101" s="82" t="str">
        <f>HYPERLINK("https://t.co/HIwrk2hoYH")</f>
        <v>https://t.co/HIwrk2hoYH</v>
      </c>
      <c r="AR101" s="82" t="str">
        <f>HYPERLINK("https://sweetfreeze.bandcamp.com/")</f>
        <v>https://sweetfreeze.bandcamp.com/</v>
      </c>
      <c r="AS101" s="76" t="s">
        <v>1996</v>
      </c>
      <c r="AT101" s="76"/>
      <c r="AU101" s="76"/>
      <c r="AV101" s="76"/>
      <c r="AW101" s="76">
        <v>1.73370204078073E+18</v>
      </c>
      <c r="AX101" s="82" t="str">
        <f>HYPERLINK("https://t.co/HIwrk2hoYH")</f>
        <v>https://t.co/HIwrk2hoYH</v>
      </c>
      <c r="AY101" s="76" t="b">
        <v>0</v>
      </c>
      <c r="AZ101" s="76"/>
      <c r="BA101" s="76"/>
      <c r="BB101" s="76" t="b">
        <v>1</v>
      </c>
      <c r="BC101" s="76" t="b">
        <v>0</v>
      </c>
      <c r="BD101" s="76" t="b">
        <v>1</v>
      </c>
      <c r="BE101" s="76" t="b">
        <v>0</v>
      </c>
      <c r="BF101" s="76" t="b">
        <v>1</v>
      </c>
      <c r="BG101" s="76" t="b">
        <v>0</v>
      </c>
      <c r="BH101" s="76" t="b">
        <v>0</v>
      </c>
      <c r="BI101" s="82" t="str">
        <f>HYPERLINK("https://pbs.twimg.com/profile_banners/250872552/1700853601")</f>
        <v>https://pbs.twimg.com/profile_banners/250872552/1700853601</v>
      </c>
      <c r="BJ101" s="76"/>
      <c r="BK101" s="76" t="s">
        <v>2092</v>
      </c>
      <c r="BL101" s="76" t="b">
        <v>0</v>
      </c>
      <c r="BM101" s="76"/>
      <c r="BN101" s="76" t="s">
        <v>66</v>
      </c>
      <c r="BO101" s="76" t="s">
        <v>2094</v>
      </c>
      <c r="BP101" s="82" t="str">
        <f>HYPERLINK("https://twitter.com/katesattler")</f>
        <v>https://twitter.com/katesattler</v>
      </c>
      <c r="BQ101" s="76" t="str">
        <f>REPLACE(INDEX(GroupVertices[Group],MATCH("~"&amp;Vertices[[#This Row],[Vertex]],GroupVertices[Vertex],0)),1,1,"")</f>
        <v>55</v>
      </c>
      <c r="BR101" s="45">
        <v>1</v>
      </c>
      <c r="BS101" s="46">
        <v>2.4390243902439024</v>
      </c>
      <c r="BT101" s="45">
        <v>4</v>
      </c>
      <c r="BU101" s="46">
        <v>9.75609756097561</v>
      </c>
      <c r="BV101" s="45">
        <v>0</v>
      </c>
      <c r="BW101" s="46">
        <v>0</v>
      </c>
      <c r="BX101" s="45">
        <v>18</v>
      </c>
      <c r="BY101" s="46">
        <v>43.90243902439025</v>
      </c>
      <c r="BZ101" s="45">
        <v>41</v>
      </c>
      <c r="CA101" s="45"/>
      <c r="CB101" s="45"/>
      <c r="CC101" s="45"/>
      <c r="CD101" s="45"/>
      <c r="CE101" s="45" t="s">
        <v>588</v>
      </c>
      <c r="CF101" s="45" t="s">
        <v>588</v>
      </c>
      <c r="CG101" s="114" t="s">
        <v>11330</v>
      </c>
      <c r="CH101" s="114" t="s">
        <v>11330</v>
      </c>
      <c r="CI101" s="114" t="s">
        <v>11459</v>
      </c>
      <c r="CJ101" s="114" t="s">
        <v>11459</v>
      </c>
      <c r="CK101" s="2"/>
    </row>
    <row r="102" spans="1:89" ht="41.45" customHeight="1">
      <c r="A102" s="61" t="s">
        <v>377</v>
      </c>
      <c r="C102" s="62"/>
      <c r="D102" s="62" t="s">
        <v>64</v>
      </c>
      <c r="E102" s="63">
        <v>70</v>
      </c>
      <c r="F102" s="65"/>
      <c r="G102" s="101" t="str">
        <f>HYPERLINK("https://pbs.twimg.com/profile_images/797837077081686016/R-h9s0cY_normal.jpg")</f>
        <v>https://pbs.twimg.com/profile_images/797837077081686016/R-h9s0cY_normal.jpg</v>
      </c>
      <c r="H102" s="62"/>
      <c r="I102" s="66" t="s">
        <v>377</v>
      </c>
      <c r="J102" s="67"/>
      <c r="K102" s="67" t="s">
        <v>75</v>
      </c>
      <c r="L102" s="66" t="s">
        <v>2183</v>
      </c>
      <c r="M102" s="70">
        <v>2000.6</v>
      </c>
      <c r="N102" s="71">
        <v>6993.3720703125</v>
      </c>
      <c r="O102" s="71">
        <v>5853.7490234375</v>
      </c>
      <c r="P102" s="72"/>
      <c r="Q102" s="73"/>
      <c r="R102" s="73"/>
      <c r="S102" s="87"/>
      <c r="T102" s="45">
        <v>1</v>
      </c>
      <c r="U102" s="45">
        <v>0</v>
      </c>
      <c r="V102" s="46">
        <v>0</v>
      </c>
      <c r="W102" s="46">
        <v>0.004695</v>
      </c>
      <c r="X102" s="46">
        <v>0</v>
      </c>
      <c r="Y102" s="46">
        <v>0.004673</v>
      </c>
      <c r="Z102" s="46">
        <v>0</v>
      </c>
      <c r="AA102" s="46">
        <v>0</v>
      </c>
      <c r="AB102" s="68">
        <v>92</v>
      </c>
      <c r="AC102" s="68"/>
      <c r="AD102" s="69"/>
      <c r="AE102" s="76" t="s">
        <v>1416</v>
      </c>
      <c r="AF102" s="80" t="s">
        <v>1168</v>
      </c>
      <c r="AG102" s="76">
        <v>10439</v>
      </c>
      <c r="AH102" s="76">
        <v>3303</v>
      </c>
      <c r="AI102" s="76">
        <v>49594</v>
      </c>
      <c r="AJ102" s="76">
        <v>148</v>
      </c>
      <c r="AK102" s="76">
        <v>23344</v>
      </c>
      <c r="AL102" s="76">
        <v>15260</v>
      </c>
      <c r="AM102" s="76" t="b">
        <v>0</v>
      </c>
      <c r="AN102" s="78">
        <v>40755.22101851852</v>
      </c>
      <c r="AO102" s="76" t="s">
        <v>1688</v>
      </c>
      <c r="AP102" s="76" t="s">
        <v>1834</v>
      </c>
      <c r="AQ102" s="82" t="str">
        <f>HYPERLINK("https://t.co/6cBnseVxeV")</f>
        <v>https://t.co/6cBnseVxeV</v>
      </c>
      <c r="AR102" s="82" t="str">
        <f>HYPERLINK("http://www.lupuschat.org")</f>
        <v>http://www.lupuschat.org</v>
      </c>
      <c r="AS102" s="76" t="s">
        <v>1997</v>
      </c>
      <c r="AT102" s="76"/>
      <c r="AU102" s="76"/>
      <c r="AV102" s="76"/>
      <c r="AW102" s="76">
        <v>1.75171149959552E+18</v>
      </c>
      <c r="AX102" s="82" t="str">
        <f>HYPERLINK("https://t.co/6cBnseVxeV")</f>
        <v>https://t.co/6cBnseVxeV</v>
      </c>
      <c r="AY102" s="76" t="b">
        <v>0</v>
      </c>
      <c r="AZ102" s="76"/>
      <c r="BA102" s="76"/>
      <c r="BB102" s="76" t="b">
        <v>1</v>
      </c>
      <c r="BC102" s="76" t="b">
        <v>1</v>
      </c>
      <c r="BD102" s="76" t="b">
        <v>0</v>
      </c>
      <c r="BE102" s="76" t="b">
        <v>0</v>
      </c>
      <c r="BF102" s="76" t="b">
        <v>0</v>
      </c>
      <c r="BG102" s="76" t="b">
        <v>0</v>
      </c>
      <c r="BH102" s="76" t="b">
        <v>0</v>
      </c>
      <c r="BI102" s="82" t="str">
        <f>HYPERLINK("https://pbs.twimg.com/profile_banners/345790395/1621453064")</f>
        <v>https://pbs.twimg.com/profile_banners/345790395/1621453064</v>
      </c>
      <c r="BJ102" s="76"/>
      <c r="BK102" s="76" t="s">
        <v>2092</v>
      </c>
      <c r="BL102" s="76" t="b">
        <v>0</v>
      </c>
      <c r="BM102" s="76"/>
      <c r="BN102" s="76" t="s">
        <v>65</v>
      </c>
      <c r="BO102" s="76" t="s">
        <v>2094</v>
      </c>
      <c r="BP102" s="82" t="str">
        <f>HYPERLINK("https://twitter.com/lupus_chat")</f>
        <v>https://twitter.com/lupus_chat</v>
      </c>
      <c r="BQ102" s="76" t="str">
        <f>REPLACE(INDEX(GroupVertices[Group],MATCH("~"&amp;Vertices[[#This Row],[Vertex]],GroupVertices[Vertex],0)),1,1,"")</f>
        <v>55</v>
      </c>
      <c r="BR102" s="45"/>
      <c r="BS102" s="46"/>
      <c r="BT102" s="45"/>
      <c r="BU102" s="46"/>
      <c r="BV102" s="45"/>
      <c r="BW102" s="46"/>
      <c r="BX102" s="45"/>
      <c r="BY102" s="46"/>
      <c r="BZ102" s="45"/>
      <c r="CA102" s="45"/>
      <c r="CB102" s="45"/>
      <c r="CC102" s="45"/>
      <c r="CD102" s="45"/>
      <c r="CE102" s="45"/>
      <c r="CF102" s="45"/>
      <c r="CG102" s="45"/>
      <c r="CH102" s="45"/>
      <c r="CI102" s="45"/>
      <c r="CJ102" s="45"/>
      <c r="CK102" s="2"/>
    </row>
    <row r="103" spans="1:89" ht="41.45" customHeight="1">
      <c r="A103" s="61" t="s">
        <v>267</v>
      </c>
      <c r="C103" s="62"/>
      <c r="D103" s="62" t="s">
        <v>64</v>
      </c>
      <c r="E103" s="63">
        <v>70</v>
      </c>
      <c r="F103" s="65"/>
      <c r="G103" s="101" t="str">
        <f>HYPERLINK("https://pbs.twimg.com/profile_images/1675902825338130432/ZYzUUDgm_normal.jpg")</f>
        <v>https://pbs.twimg.com/profile_images/1675902825338130432/ZYzUUDgm_normal.jpg</v>
      </c>
      <c r="H103" s="62"/>
      <c r="I103" s="66" t="s">
        <v>267</v>
      </c>
      <c r="J103" s="67"/>
      <c r="K103" s="67" t="s">
        <v>75</v>
      </c>
      <c r="L103" s="66" t="s">
        <v>2184</v>
      </c>
      <c r="M103" s="70">
        <v>1</v>
      </c>
      <c r="N103" s="71">
        <v>5634.0361328125</v>
      </c>
      <c r="O103" s="71">
        <v>2222.56005859375</v>
      </c>
      <c r="P103" s="72"/>
      <c r="Q103" s="73"/>
      <c r="R103" s="73"/>
      <c r="S103" s="87"/>
      <c r="T103" s="45">
        <v>0</v>
      </c>
      <c r="U103" s="45">
        <v>1</v>
      </c>
      <c r="V103" s="46">
        <v>0</v>
      </c>
      <c r="W103" s="46">
        <v>0.004695</v>
      </c>
      <c r="X103" s="46">
        <v>0</v>
      </c>
      <c r="Y103" s="46">
        <v>0.004673</v>
      </c>
      <c r="Z103" s="46">
        <v>0</v>
      </c>
      <c r="AA103" s="46">
        <v>0</v>
      </c>
      <c r="AB103" s="68">
        <v>93</v>
      </c>
      <c r="AC103" s="68"/>
      <c r="AD103" s="69"/>
      <c r="AE103" s="76" t="s">
        <v>1417</v>
      </c>
      <c r="AF103" s="80" t="s">
        <v>1587</v>
      </c>
      <c r="AG103" s="76">
        <v>6367</v>
      </c>
      <c r="AH103" s="76">
        <v>1004</v>
      </c>
      <c r="AI103" s="76">
        <v>8093</v>
      </c>
      <c r="AJ103" s="76">
        <v>109</v>
      </c>
      <c r="AK103" s="76">
        <v>5711</v>
      </c>
      <c r="AL103" s="76">
        <v>1293</v>
      </c>
      <c r="AM103" s="76" t="b">
        <v>0</v>
      </c>
      <c r="AN103" s="78">
        <v>40911.81302083333</v>
      </c>
      <c r="AO103" s="76" t="s">
        <v>1677</v>
      </c>
      <c r="AP103" s="76" t="s">
        <v>1835</v>
      </c>
      <c r="AQ103" s="82" t="str">
        <f>HYPERLINK("https://t.co/m7CUZp828j")</f>
        <v>https://t.co/m7CUZp828j</v>
      </c>
      <c r="AR103" s="82" t="str">
        <f>HYPERLINK("http://www.ohsubrain.com")</f>
        <v>http://www.ohsubrain.com</v>
      </c>
      <c r="AS103" s="76" t="s">
        <v>1998</v>
      </c>
      <c r="AT103" s="76"/>
      <c r="AU103" s="76"/>
      <c r="AV103" s="76"/>
      <c r="AW103" s="76">
        <v>1.7433401098716E+18</v>
      </c>
      <c r="AX103" s="82" t="str">
        <f>HYPERLINK("https://t.co/m7CUZp828j")</f>
        <v>https://t.co/m7CUZp828j</v>
      </c>
      <c r="AY103" s="76" t="b">
        <v>0</v>
      </c>
      <c r="AZ103" s="76"/>
      <c r="BA103" s="76"/>
      <c r="BB103" s="76" t="b">
        <v>1</v>
      </c>
      <c r="BC103" s="76" t="b">
        <v>1</v>
      </c>
      <c r="BD103" s="76" t="b">
        <v>0</v>
      </c>
      <c r="BE103" s="76" t="b">
        <v>0</v>
      </c>
      <c r="BF103" s="76" t="b">
        <v>1</v>
      </c>
      <c r="BG103" s="76" t="b">
        <v>0</v>
      </c>
      <c r="BH103" s="76" t="b">
        <v>0</v>
      </c>
      <c r="BI103" s="82" t="str">
        <f>HYPERLINK("https://pbs.twimg.com/profile_banners/454235500/1663874925")</f>
        <v>https://pbs.twimg.com/profile_banners/454235500/1663874925</v>
      </c>
      <c r="BJ103" s="76"/>
      <c r="BK103" s="76" t="s">
        <v>2092</v>
      </c>
      <c r="BL103" s="76" t="b">
        <v>0</v>
      </c>
      <c r="BM103" s="76"/>
      <c r="BN103" s="76" t="s">
        <v>66</v>
      </c>
      <c r="BO103" s="76" t="s">
        <v>2094</v>
      </c>
      <c r="BP103" s="82" t="str">
        <f>HYPERLINK("https://twitter.com/ohsubrain")</f>
        <v>https://twitter.com/ohsubrain</v>
      </c>
      <c r="BQ103" s="76" t="str">
        <f>REPLACE(INDEX(GroupVertices[Group],MATCH("~"&amp;Vertices[[#This Row],[Vertex]],GroupVertices[Vertex],0)),1,1,"")</f>
        <v>54</v>
      </c>
      <c r="BR103" s="45">
        <v>0</v>
      </c>
      <c r="BS103" s="46">
        <v>0</v>
      </c>
      <c r="BT103" s="45">
        <v>3</v>
      </c>
      <c r="BU103" s="46">
        <v>15.789473684210526</v>
      </c>
      <c r="BV103" s="45">
        <v>0</v>
      </c>
      <c r="BW103" s="46">
        <v>0</v>
      </c>
      <c r="BX103" s="45">
        <v>8</v>
      </c>
      <c r="BY103" s="46">
        <v>42.10526315789474</v>
      </c>
      <c r="BZ103" s="45">
        <v>19</v>
      </c>
      <c r="CA103" s="45" t="s">
        <v>11034</v>
      </c>
      <c r="CB103" s="45" t="s">
        <v>11034</v>
      </c>
      <c r="CC103" s="45" t="s">
        <v>607</v>
      </c>
      <c r="CD103" s="45" t="s">
        <v>607</v>
      </c>
      <c r="CE103" s="45"/>
      <c r="CF103" s="45"/>
      <c r="CG103" s="114" t="s">
        <v>11331</v>
      </c>
      <c r="CH103" s="114" t="s">
        <v>11331</v>
      </c>
      <c r="CI103" s="114" t="s">
        <v>11460</v>
      </c>
      <c r="CJ103" s="114" t="s">
        <v>11460</v>
      </c>
      <c r="CK103" s="2"/>
    </row>
    <row r="104" spans="1:89" ht="41.45" customHeight="1">
      <c r="A104" s="61" t="s">
        <v>378</v>
      </c>
      <c r="C104" s="62"/>
      <c r="D104" s="62" t="s">
        <v>64</v>
      </c>
      <c r="E104" s="63">
        <v>70</v>
      </c>
      <c r="F104" s="65"/>
      <c r="G104" s="101" t="str">
        <f>HYPERLINK("https://pbs.twimg.com/profile_images/378800000573152378/80cbede207051b12f9eda751296c325a_normal.png")</f>
        <v>https://pbs.twimg.com/profile_images/378800000573152378/80cbede207051b12f9eda751296c325a_normal.png</v>
      </c>
      <c r="H104" s="62"/>
      <c r="I104" s="66" t="s">
        <v>378</v>
      </c>
      <c r="J104" s="67"/>
      <c r="K104" s="67" t="s">
        <v>75</v>
      </c>
      <c r="L104" s="66" t="s">
        <v>2185</v>
      </c>
      <c r="M104" s="70">
        <v>2000.6</v>
      </c>
      <c r="N104" s="71">
        <v>5634.0361328125</v>
      </c>
      <c r="O104" s="71">
        <v>1617.78173828125</v>
      </c>
      <c r="P104" s="72"/>
      <c r="Q104" s="73"/>
      <c r="R104" s="73"/>
      <c r="S104" s="87"/>
      <c r="T104" s="45">
        <v>1</v>
      </c>
      <c r="U104" s="45">
        <v>0</v>
      </c>
      <c r="V104" s="46">
        <v>0</v>
      </c>
      <c r="W104" s="46">
        <v>0.004695</v>
      </c>
      <c r="X104" s="46">
        <v>0</v>
      </c>
      <c r="Y104" s="46">
        <v>0.004673</v>
      </c>
      <c r="Z104" s="46">
        <v>0</v>
      </c>
      <c r="AA104" s="46">
        <v>0</v>
      </c>
      <c r="AB104" s="68">
        <v>94</v>
      </c>
      <c r="AC104" s="68"/>
      <c r="AD104" s="69"/>
      <c r="AE104" s="76" t="s">
        <v>1418</v>
      </c>
      <c r="AF104" s="80" t="s">
        <v>1588</v>
      </c>
      <c r="AG104" s="76">
        <v>5881</v>
      </c>
      <c r="AH104" s="76">
        <v>458</v>
      </c>
      <c r="AI104" s="76">
        <v>16549</v>
      </c>
      <c r="AJ104" s="76">
        <v>352</v>
      </c>
      <c r="AK104" s="76">
        <v>1</v>
      </c>
      <c r="AL104" s="76">
        <v>13</v>
      </c>
      <c r="AM104" s="76" t="b">
        <v>0</v>
      </c>
      <c r="AN104" s="78">
        <v>39904.84135416667</v>
      </c>
      <c r="AO104" s="76" t="s">
        <v>1677</v>
      </c>
      <c r="AP104" s="76" t="s">
        <v>1836</v>
      </c>
      <c r="AQ104" s="82" t="str">
        <f>HYPERLINK("http://t.co/0blOSerS2F")</f>
        <v>http://t.co/0blOSerS2F</v>
      </c>
      <c r="AR104" s="82" t="str">
        <f>HYPERLINK("http://www.oregonlive.com")</f>
        <v>http://www.oregonlive.com</v>
      </c>
      <c r="AS104" s="76" t="s">
        <v>617</v>
      </c>
      <c r="AT104" s="76"/>
      <c r="AU104" s="76"/>
      <c r="AV104" s="76"/>
      <c r="AW104" s="76"/>
      <c r="AX104" s="82" t="str">
        <f>HYPERLINK("http://t.co/0blOSerS2F")</f>
        <v>http://t.co/0blOSerS2F</v>
      </c>
      <c r="AY104" s="76" t="b">
        <v>0</v>
      </c>
      <c r="AZ104" s="76"/>
      <c r="BA104" s="76"/>
      <c r="BB104" s="76" t="b">
        <v>0</v>
      </c>
      <c r="BC104" s="76" t="b">
        <v>1</v>
      </c>
      <c r="BD104" s="76" t="b">
        <v>0</v>
      </c>
      <c r="BE104" s="76" t="b">
        <v>0</v>
      </c>
      <c r="BF104" s="76" t="b">
        <v>0</v>
      </c>
      <c r="BG104" s="76" t="b">
        <v>0</v>
      </c>
      <c r="BH104" s="76" t="b">
        <v>0</v>
      </c>
      <c r="BI104" s="76"/>
      <c r="BJ104" s="76"/>
      <c r="BK104" s="76" t="s">
        <v>2092</v>
      </c>
      <c r="BL104" s="76" t="b">
        <v>0</v>
      </c>
      <c r="BM104" s="76"/>
      <c r="BN104" s="76" t="s">
        <v>65</v>
      </c>
      <c r="BO104" s="76" t="s">
        <v>2094</v>
      </c>
      <c r="BP104" s="82" t="str">
        <f>HYPERLINK("https://twitter.com/oregonlive")</f>
        <v>https://twitter.com/oregonlive</v>
      </c>
      <c r="BQ104" s="76" t="str">
        <f>REPLACE(INDEX(GroupVertices[Group],MATCH("~"&amp;Vertices[[#This Row],[Vertex]],GroupVertices[Vertex],0)),1,1,"")</f>
        <v>54</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41.45" customHeight="1">
      <c r="A105" s="61" t="s">
        <v>379</v>
      </c>
      <c r="C105" s="62"/>
      <c r="D105" s="62" t="s">
        <v>64</v>
      </c>
      <c r="E105" s="63">
        <v>70</v>
      </c>
      <c r="F105" s="65"/>
      <c r="G105" s="101" t="str">
        <f>HYPERLINK("https://pbs.twimg.com/profile_images/826446719525097473/lvKahtNP_normal.jpg")</f>
        <v>https://pbs.twimg.com/profile_images/826446719525097473/lvKahtNP_normal.jpg</v>
      </c>
      <c r="H105" s="62"/>
      <c r="I105" s="66" t="s">
        <v>379</v>
      </c>
      <c r="J105" s="67"/>
      <c r="K105" s="67" t="s">
        <v>75</v>
      </c>
      <c r="L105" s="66" t="s">
        <v>2186</v>
      </c>
      <c r="M105" s="70">
        <v>2000.6</v>
      </c>
      <c r="N105" s="71">
        <v>2323.514892578125</v>
      </c>
      <c r="O105" s="71">
        <v>9389.6103515625</v>
      </c>
      <c r="P105" s="72"/>
      <c r="Q105" s="73"/>
      <c r="R105" s="73"/>
      <c r="S105" s="87"/>
      <c r="T105" s="45">
        <v>1</v>
      </c>
      <c r="U105" s="45">
        <v>0</v>
      </c>
      <c r="V105" s="46">
        <v>0</v>
      </c>
      <c r="W105" s="46">
        <v>0.019589</v>
      </c>
      <c r="X105" s="46">
        <v>0.052105</v>
      </c>
      <c r="Y105" s="46">
        <v>0.004242</v>
      </c>
      <c r="Z105" s="46">
        <v>0</v>
      </c>
      <c r="AA105" s="46">
        <v>0</v>
      </c>
      <c r="AB105" s="68">
        <v>95</v>
      </c>
      <c r="AC105" s="68"/>
      <c r="AD105" s="69"/>
      <c r="AE105" s="76" t="s">
        <v>1419</v>
      </c>
      <c r="AF105" s="80" t="s">
        <v>1589</v>
      </c>
      <c r="AG105" s="76">
        <v>264471</v>
      </c>
      <c r="AH105" s="76">
        <v>1287</v>
      </c>
      <c r="AI105" s="76">
        <v>12277</v>
      </c>
      <c r="AJ105" s="76">
        <v>2164</v>
      </c>
      <c r="AK105" s="76">
        <v>2571</v>
      </c>
      <c r="AL105" s="76">
        <v>2497</v>
      </c>
      <c r="AM105" s="76" t="b">
        <v>0</v>
      </c>
      <c r="AN105" s="78">
        <v>40834.775347222225</v>
      </c>
      <c r="AO105" s="76" t="s">
        <v>1689</v>
      </c>
      <c r="AP105" s="76" t="s">
        <v>1837</v>
      </c>
      <c r="AQ105" s="82" t="str">
        <f>HYPERLINK("https://t.co/flPmdiZus1")</f>
        <v>https://t.co/flPmdiZus1</v>
      </c>
      <c r="AR105" s="82" t="str">
        <f>HYPERLINK("http://www.transportation.gov")</f>
        <v>http://www.transportation.gov</v>
      </c>
      <c r="AS105" s="76" t="s">
        <v>1999</v>
      </c>
      <c r="AT105" s="76"/>
      <c r="AU105" s="76"/>
      <c r="AV105" s="76"/>
      <c r="AW105" s="76"/>
      <c r="AX105" s="82" t="str">
        <f>HYPERLINK("https://t.co/flPmdiZus1")</f>
        <v>https://t.co/flPmdiZus1</v>
      </c>
      <c r="AY105" s="76" t="b">
        <v>0</v>
      </c>
      <c r="AZ105" s="76"/>
      <c r="BA105" s="76"/>
      <c r="BB105" s="76" t="b">
        <v>0</v>
      </c>
      <c r="BC105" s="76" t="b">
        <v>1</v>
      </c>
      <c r="BD105" s="76" t="b">
        <v>0</v>
      </c>
      <c r="BE105" s="76" t="b">
        <v>0</v>
      </c>
      <c r="BF105" s="76" t="b">
        <v>1</v>
      </c>
      <c r="BG105" s="76" t="b">
        <v>0</v>
      </c>
      <c r="BH105" s="76" t="b">
        <v>0</v>
      </c>
      <c r="BI105" s="82" t="str">
        <f>HYPERLINK("https://pbs.twimg.com/profile_banners/393562221/1697469817")</f>
        <v>https://pbs.twimg.com/profile_banners/393562221/1697469817</v>
      </c>
      <c r="BJ105" s="76"/>
      <c r="BK105" s="76" t="s">
        <v>2092</v>
      </c>
      <c r="BL105" s="76" t="b">
        <v>0</v>
      </c>
      <c r="BM105" s="76"/>
      <c r="BN105" s="76" t="s">
        <v>65</v>
      </c>
      <c r="BO105" s="76" t="s">
        <v>2094</v>
      </c>
      <c r="BP105" s="82" t="str">
        <f>HYPERLINK("https://twitter.com/usdot")</f>
        <v>https://twitter.com/usdot</v>
      </c>
      <c r="BQ105" s="76" t="str">
        <f>REPLACE(INDEX(GroupVertices[Group],MATCH("~"&amp;Vertices[[#This Row],[Vertex]],GroupVertices[Vertex],0)),1,1,"")</f>
        <v>3</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41.45" customHeight="1">
      <c r="A106" s="61" t="s">
        <v>269</v>
      </c>
      <c r="C106" s="62"/>
      <c r="D106" s="62" t="s">
        <v>64</v>
      </c>
      <c r="E106" s="63">
        <v>70</v>
      </c>
      <c r="F106" s="65"/>
      <c r="G106" s="101" t="str">
        <f>HYPERLINK("https://pbs.twimg.com/profile_images/1694180899079000064/qaRDpEuf_normal.jpg")</f>
        <v>https://pbs.twimg.com/profile_images/1694180899079000064/qaRDpEuf_normal.jpg</v>
      </c>
      <c r="H106" s="62"/>
      <c r="I106" s="66" t="s">
        <v>269</v>
      </c>
      <c r="J106" s="67"/>
      <c r="K106" s="67" t="s">
        <v>75</v>
      </c>
      <c r="L106" s="66" t="s">
        <v>2187</v>
      </c>
      <c r="M106" s="70">
        <v>2000.6</v>
      </c>
      <c r="N106" s="71">
        <v>248.42568969726562</v>
      </c>
      <c r="O106" s="71">
        <v>4052.01416015625</v>
      </c>
      <c r="P106" s="72"/>
      <c r="Q106" s="73"/>
      <c r="R106" s="73"/>
      <c r="S106" s="87"/>
      <c r="T106" s="45">
        <v>1</v>
      </c>
      <c r="U106" s="45">
        <v>1</v>
      </c>
      <c r="V106" s="46">
        <v>0</v>
      </c>
      <c r="W106" s="46">
        <v>0</v>
      </c>
      <c r="X106" s="46">
        <v>0</v>
      </c>
      <c r="Y106" s="46">
        <v>0.004673</v>
      </c>
      <c r="Z106" s="46">
        <v>0</v>
      </c>
      <c r="AA106" s="46">
        <v>0</v>
      </c>
      <c r="AB106" s="68">
        <v>96</v>
      </c>
      <c r="AC106" s="68"/>
      <c r="AD106" s="69"/>
      <c r="AE106" s="76" t="s">
        <v>1420</v>
      </c>
      <c r="AF106" s="80" t="s">
        <v>1256</v>
      </c>
      <c r="AG106" s="76">
        <v>269</v>
      </c>
      <c r="AH106" s="76">
        <v>363</v>
      </c>
      <c r="AI106" s="76">
        <v>47641</v>
      </c>
      <c r="AJ106" s="76">
        <v>1</v>
      </c>
      <c r="AK106" s="76">
        <v>17626</v>
      </c>
      <c r="AL106" s="76">
        <v>3210</v>
      </c>
      <c r="AM106" s="76" t="b">
        <v>0</v>
      </c>
      <c r="AN106" s="78">
        <v>44088.87479166667</v>
      </c>
      <c r="AO106" s="76" t="s">
        <v>852</v>
      </c>
      <c r="AP106" s="76" t="s">
        <v>1838</v>
      </c>
      <c r="AQ106" s="82" t="str">
        <f>HYPERLINK("https://t.co/l4TPIiAnvh")</f>
        <v>https://t.co/l4TPIiAnvh</v>
      </c>
      <c r="AR106" s="82" t="str">
        <f>HYPERLINK("http://kissmyass.com")</f>
        <v>http://kissmyass.com</v>
      </c>
      <c r="AS106" s="76" t="s">
        <v>2000</v>
      </c>
      <c r="AT106" s="76"/>
      <c r="AU106" s="76"/>
      <c r="AV106" s="76"/>
      <c r="AW106" s="76"/>
      <c r="AX106" s="82" t="str">
        <f>HYPERLINK("https://t.co/l4TPIiAnvh")</f>
        <v>https://t.co/l4TPIiAnvh</v>
      </c>
      <c r="AY106" s="76" t="b">
        <v>0</v>
      </c>
      <c r="AZ106" s="76"/>
      <c r="BA106" s="76"/>
      <c r="BB106" s="76" t="b">
        <v>1</v>
      </c>
      <c r="BC106" s="76" t="b">
        <v>0</v>
      </c>
      <c r="BD106" s="76" t="b">
        <v>1</v>
      </c>
      <c r="BE106" s="76" t="b">
        <v>0</v>
      </c>
      <c r="BF106" s="76" t="b">
        <v>1</v>
      </c>
      <c r="BG106" s="76" t="b">
        <v>0</v>
      </c>
      <c r="BH106" s="76" t="b">
        <v>0</v>
      </c>
      <c r="BI106" s="82" t="str">
        <f>HYPERLINK("https://pbs.twimg.com/profile_banners/1305612174304227328/1685403856")</f>
        <v>https://pbs.twimg.com/profile_banners/1305612174304227328/1685403856</v>
      </c>
      <c r="BJ106" s="76"/>
      <c r="BK106" s="76" t="s">
        <v>2092</v>
      </c>
      <c r="BL106" s="76" t="b">
        <v>0</v>
      </c>
      <c r="BM106" s="76"/>
      <c r="BN106" s="76" t="s">
        <v>66</v>
      </c>
      <c r="BO106" s="76" t="s">
        <v>2094</v>
      </c>
      <c r="BP106" s="82" t="str">
        <f>HYPERLINK("https://twitter.com/luke_the_duke00")</f>
        <v>https://twitter.com/luke_the_duke00</v>
      </c>
      <c r="BQ106" s="76" t="str">
        <f>REPLACE(INDEX(GroupVertices[Group],MATCH("~"&amp;Vertices[[#This Row],[Vertex]],GroupVertices[Vertex],0)),1,1,"")</f>
        <v>1</v>
      </c>
      <c r="BR106" s="45">
        <v>2</v>
      </c>
      <c r="BS106" s="46">
        <v>8.695652173913043</v>
      </c>
      <c r="BT106" s="45">
        <v>1</v>
      </c>
      <c r="BU106" s="46">
        <v>4.3478260869565215</v>
      </c>
      <c r="BV106" s="45">
        <v>0</v>
      </c>
      <c r="BW106" s="46">
        <v>0</v>
      </c>
      <c r="BX106" s="45">
        <v>11</v>
      </c>
      <c r="BY106" s="46">
        <v>47.82608695652174</v>
      </c>
      <c r="BZ106" s="45">
        <v>23</v>
      </c>
      <c r="CA106" s="45"/>
      <c r="CB106" s="45"/>
      <c r="CC106" s="45"/>
      <c r="CD106" s="45"/>
      <c r="CE106" s="45"/>
      <c r="CF106" s="45"/>
      <c r="CG106" s="114" t="s">
        <v>11332</v>
      </c>
      <c r="CH106" s="114" t="s">
        <v>11332</v>
      </c>
      <c r="CI106" s="114" t="s">
        <v>11461</v>
      </c>
      <c r="CJ106" s="114" t="s">
        <v>11461</v>
      </c>
      <c r="CK106" s="2"/>
    </row>
    <row r="107" spans="1:89" ht="41.45" customHeight="1">
      <c r="A107" s="61" t="s">
        <v>380</v>
      </c>
      <c r="C107" s="62"/>
      <c r="D107" s="62" t="s">
        <v>64</v>
      </c>
      <c r="E107" s="63">
        <v>70</v>
      </c>
      <c r="F107" s="65"/>
      <c r="G107" s="101" t="str">
        <f>HYPERLINK("https://pbs.twimg.com/profile_images/1742029953393209344/XnI9vw4d_normal.jpg")</f>
        <v>https://pbs.twimg.com/profile_images/1742029953393209344/XnI9vw4d_normal.jpg</v>
      </c>
      <c r="H107" s="62"/>
      <c r="I107" s="66" t="s">
        <v>380</v>
      </c>
      <c r="J107" s="67"/>
      <c r="K107" s="67" t="s">
        <v>75</v>
      </c>
      <c r="L107" s="66" t="s">
        <v>2189</v>
      </c>
      <c r="M107" s="70">
        <v>2000.6</v>
      </c>
      <c r="N107" s="71">
        <v>5856.326171875</v>
      </c>
      <c r="O107" s="71">
        <v>9526.517578125</v>
      </c>
      <c r="P107" s="72"/>
      <c r="Q107" s="73"/>
      <c r="R107" s="73"/>
      <c r="S107" s="87"/>
      <c r="T107" s="45">
        <v>1</v>
      </c>
      <c r="U107" s="45">
        <v>0</v>
      </c>
      <c r="V107" s="46">
        <v>0</v>
      </c>
      <c r="W107" s="46">
        <v>0.00626</v>
      </c>
      <c r="X107" s="46">
        <v>0</v>
      </c>
      <c r="Y107" s="46">
        <v>0.004368</v>
      </c>
      <c r="Z107" s="46">
        <v>0</v>
      </c>
      <c r="AA107" s="46">
        <v>0</v>
      </c>
      <c r="AB107" s="68">
        <v>98</v>
      </c>
      <c r="AC107" s="68"/>
      <c r="AD107" s="69"/>
      <c r="AE107" s="76" t="s">
        <v>1422</v>
      </c>
      <c r="AF107" s="80" t="s">
        <v>1591</v>
      </c>
      <c r="AG107" s="76">
        <v>4139</v>
      </c>
      <c r="AH107" s="76">
        <v>2097</v>
      </c>
      <c r="AI107" s="76">
        <v>4958</v>
      </c>
      <c r="AJ107" s="76">
        <v>16</v>
      </c>
      <c r="AK107" s="76">
        <v>24876</v>
      </c>
      <c r="AL107" s="76">
        <v>2439</v>
      </c>
      <c r="AM107" s="76" t="b">
        <v>0</v>
      </c>
      <c r="AN107" s="78">
        <v>44857.05331018518</v>
      </c>
      <c r="AO107" s="76" t="s">
        <v>1691</v>
      </c>
      <c r="AP107" s="76" t="s">
        <v>1840</v>
      </c>
      <c r="AQ107" s="76"/>
      <c r="AR107" s="76"/>
      <c r="AS107" s="76"/>
      <c r="AT107" s="76"/>
      <c r="AU107" s="76"/>
      <c r="AV107" s="76"/>
      <c r="AW107" s="76">
        <v>1.60986033391261E+18</v>
      </c>
      <c r="AX107" s="76"/>
      <c r="AY107" s="76" t="b">
        <v>1</v>
      </c>
      <c r="AZ107" s="76"/>
      <c r="BA107" s="76"/>
      <c r="BB107" s="76" t="b">
        <v>1</v>
      </c>
      <c r="BC107" s="76" t="b">
        <v>1</v>
      </c>
      <c r="BD107" s="76" t="b">
        <v>1</v>
      </c>
      <c r="BE107" s="76" t="b">
        <v>0</v>
      </c>
      <c r="BF107" s="76" t="b">
        <v>0</v>
      </c>
      <c r="BG107" s="76" t="b">
        <v>0</v>
      </c>
      <c r="BH107" s="76" t="b">
        <v>0</v>
      </c>
      <c r="BI107" s="82" t="str">
        <f>HYPERLINK("https://pbs.twimg.com/profile_banners/1583990681843924993/1666490070")</f>
        <v>https://pbs.twimg.com/profile_banners/1583990681843924993/1666490070</v>
      </c>
      <c r="BJ107" s="76"/>
      <c r="BK107" s="76" t="s">
        <v>2092</v>
      </c>
      <c r="BL107" s="76" t="b">
        <v>0</v>
      </c>
      <c r="BM107" s="76"/>
      <c r="BN107" s="76" t="s">
        <v>65</v>
      </c>
      <c r="BO107" s="76" t="s">
        <v>2094</v>
      </c>
      <c r="BP107" s="82" t="str">
        <f>HYPERLINK("https://twitter.com/quigonjenna")</f>
        <v>https://twitter.com/quigonjenna</v>
      </c>
      <c r="BQ107" s="76" t="str">
        <f>REPLACE(INDEX(GroupVertices[Group],MATCH("~"&amp;Vertices[[#This Row],[Vertex]],GroupVertices[Vertex],0)),1,1,"")</f>
        <v>17</v>
      </c>
      <c r="BR107" s="45"/>
      <c r="BS107" s="46"/>
      <c r="BT107" s="45"/>
      <c r="BU107" s="46"/>
      <c r="BV107" s="45"/>
      <c r="BW107" s="46"/>
      <c r="BX107" s="45"/>
      <c r="BY107" s="46"/>
      <c r="BZ107" s="45"/>
      <c r="CA107" s="45"/>
      <c r="CB107" s="45"/>
      <c r="CC107" s="45"/>
      <c r="CD107" s="45"/>
      <c r="CE107" s="45"/>
      <c r="CF107" s="45"/>
      <c r="CG107" s="45"/>
      <c r="CH107" s="45"/>
      <c r="CI107" s="45"/>
      <c r="CJ107" s="45"/>
      <c r="CK107" s="2"/>
    </row>
    <row r="108" spans="1:89" ht="41.45" customHeight="1">
      <c r="A108" s="61" t="s">
        <v>381</v>
      </c>
      <c r="C108" s="62"/>
      <c r="D108" s="62" t="s">
        <v>64</v>
      </c>
      <c r="E108" s="63">
        <v>70</v>
      </c>
      <c r="F108" s="65"/>
      <c r="G108" s="101" t="str">
        <f>HYPERLINK("https://pbs.twimg.com/profile_images/1741326138603921408/7x2d5fKl_normal.jpg")</f>
        <v>https://pbs.twimg.com/profile_images/1741326138603921408/7x2d5fKl_normal.jpg</v>
      </c>
      <c r="H108" s="62"/>
      <c r="I108" s="66" t="s">
        <v>381</v>
      </c>
      <c r="J108" s="67"/>
      <c r="K108" s="67" t="s">
        <v>75</v>
      </c>
      <c r="L108" s="66" t="s">
        <v>2190</v>
      </c>
      <c r="M108" s="70">
        <v>2000.6</v>
      </c>
      <c r="N108" s="71">
        <v>5476.41259765625</v>
      </c>
      <c r="O108" s="71">
        <v>8682.34765625</v>
      </c>
      <c r="P108" s="72"/>
      <c r="Q108" s="73"/>
      <c r="R108" s="73"/>
      <c r="S108" s="87"/>
      <c r="T108" s="45">
        <v>1</v>
      </c>
      <c r="U108" s="45">
        <v>0</v>
      </c>
      <c r="V108" s="46">
        <v>0</v>
      </c>
      <c r="W108" s="46">
        <v>0.00626</v>
      </c>
      <c r="X108" s="46">
        <v>0</v>
      </c>
      <c r="Y108" s="46">
        <v>0.004368</v>
      </c>
      <c r="Z108" s="46">
        <v>0</v>
      </c>
      <c r="AA108" s="46">
        <v>0</v>
      </c>
      <c r="AB108" s="68">
        <v>99</v>
      </c>
      <c r="AC108" s="68"/>
      <c r="AD108" s="69"/>
      <c r="AE108" s="76" t="s">
        <v>1423</v>
      </c>
      <c r="AF108" s="80" t="s">
        <v>1169</v>
      </c>
      <c r="AG108" s="76">
        <v>136</v>
      </c>
      <c r="AH108" s="76">
        <v>487</v>
      </c>
      <c r="AI108" s="76">
        <v>1565</v>
      </c>
      <c r="AJ108" s="76">
        <v>1</v>
      </c>
      <c r="AK108" s="76">
        <v>434</v>
      </c>
      <c r="AL108" s="76">
        <v>62</v>
      </c>
      <c r="AM108" s="76" t="b">
        <v>0</v>
      </c>
      <c r="AN108" s="78">
        <v>42008.841261574074</v>
      </c>
      <c r="AO108" s="76" t="s">
        <v>1692</v>
      </c>
      <c r="AP108" s="76" t="s">
        <v>1841</v>
      </c>
      <c r="AQ108" s="76"/>
      <c r="AR108" s="76"/>
      <c r="AS108" s="76"/>
      <c r="AT108" s="76"/>
      <c r="AU108" s="76"/>
      <c r="AV108" s="76"/>
      <c r="AW108" s="76">
        <v>6.52518370227712E+17</v>
      </c>
      <c r="AX108" s="76"/>
      <c r="AY108" s="76" t="b">
        <v>0</v>
      </c>
      <c r="AZ108" s="76"/>
      <c r="BA108" s="76"/>
      <c r="BB108" s="76" t="b">
        <v>0</v>
      </c>
      <c r="BC108" s="76" t="b">
        <v>0</v>
      </c>
      <c r="BD108" s="76" t="b">
        <v>1</v>
      </c>
      <c r="BE108" s="76" t="b">
        <v>0</v>
      </c>
      <c r="BF108" s="76" t="b">
        <v>0</v>
      </c>
      <c r="BG108" s="76" t="b">
        <v>0</v>
      </c>
      <c r="BH108" s="76" t="b">
        <v>0</v>
      </c>
      <c r="BI108" s="82" t="str">
        <f>HYPERLINK("https://pbs.twimg.com/profile_banners/2960838353/1588713601")</f>
        <v>https://pbs.twimg.com/profile_banners/2960838353/1588713601</v>
      </c>
      <c r="BJ108" s="76"/>
      <c r="BK108" s="76" t="s">
        <v>2092</v>
      </c>
      <c r="BL108" s="76" t="b">
        <v>0</v>
      </c>
      <c r="BM108" s="76"/>
      <c r="BN108" s="76" t="s">
        <v>65</v>
      </c>
      <c r="BO108" s="76" t="s">
        <v>2094</v>
      </c>
      <c r="BP108" s="82" t="str">
        <f>HYPERLINK("https://twitter.com/markceleste2727")</f>
        <v>https://twitter.com/markceleste2727</v>
      </c>
      <c r="BQ108" s="76" t="str">
        <f>REPLACE(INDEX(GroupVertices[Group],MATCH("~"&amp;Vertices[[#This Row],[Vertex]],GroupVertices[Vertex],0)),1,1,"")</f>
        <v>17</v>
      </c>
      <c r="BR108" s="45"/>
      <c r="BS108" s="46"/>
      <c r="BT108" s="45"/>
      <c r="BU108" s="46"/>
      <c r="BV108" s="45"/>
      <c r="BW108" s="46"/>
      <c r="BX108" s="45"/>
      <c r="BY108" s="46"/>
      <c r="BZ108" s="45"/>
      <c r="CA108" s="45"/>
      <c r="CB108" s="45"/>
      <c r="CC108" s="45"/>
      <c r="CD108" s="45"/>
      <c r="CE108" s="45"/>
      <c r="CF108" s="45"/>
      <c r="CG108" s="45"/>
      <c r="CH108" s="45"/>
      <c r="CI108" s="45"/>
      <c r="CJ108" s="45"/>
      <c r="CK108" s="2"/>
    </row>
    <row r="109" spans="1:89" ht="41.45" customHeight="1">
      <c r="A109" s="61" t="s">
        <v>271</v>
      </c>
      <c r="C109" s="62"/>
      <c r="D109" s="62" t="s">
        <v>64</v>
      </c>
      <c r="E109" s="63">
        <v>70</v>
      </c>
      <c r="F109" s="65"/>
      <c r="G109" s="101" t="str">
        <f>HYPERLINK("https://pbs.twimg.com/profile_images/780984509294534656/U9r2eId9_normal.jpg")</f>
        <v>https://pbs.twimg.com/profile_images/780984509294534656/U9r2eId9_normal.jpg</v>
      </c>
      <c r="H109" s="62"/>
      <c r="I109" s="66" t="s">
        <v>271</v>
      </c>
      <c r="J109" s="67"/>
      <c r="K109" s="67" t="s">
        <v>75</v>
      </c>
      <c r="L109" s="66" t="s">
        <v>2191</v>
      </c>
      <c r="M109" s="70">
        <v>2000.6</v>
      </c>
      <c r="N109" s="71">
        <v>1577.314697265625</v>
      </c>
      <c r="O109" s="71">
        <v>6773.51611328125</v>
      </c>
      <c r="P109" s="72"/>
      <c r="Q109" s="73"/>
      <c r="R109" s="73"/>
      <c r="S109" s="87"/>
      <c r="T109" s="45">
        <v>1</v>
      </c>
      <c r="U109" s="45">
        <v>1</v>
      </c>
      <c r="V109" s="46">
        <v>0</v>
      </c>
      <c r="W109" s="46">
        <v>0</v>
      </c>
      <c r="X109" s="46">
        <v>0</v>
      </c>
      <c r="Y109" s="46">
        <v>0.004673</v>
      </c>
      <c r="Z109" s="46">
        <v>0</v>
      </c>
      <c r="AA109" s="46">
        <v>0</v>
      </c>
      <c r="AB109" s="68">
        <v>100</v>
      </c>
      <c r="AC109" s="68"/>
      <c r="AD109" s="69"/>
      <c r="AE109" s="76" t="s">
        <v>1424</v>
      </c>
      <c r="AF109" s="80" t="s">
        <v>1170</v>
      </c>
      <c r="AG109" s="76">
        <v>581</v>
      </c>
      <c r="AH109" s="76">
        <v>439</v>
      </c>
      <c r="AI109" s="76">
        <v>17486</v>
      </c>
      <c r="AJ109" s="76">
        <v>34</v>
      </c>
      <c r="AK109" s="76">
        <v>1140</v>
      </c>
      <c r="AL109" s="76">
        <v>2981</v>
      </c>
      <c r="AM109" s="76" t="b">
        <v>0</v>
      </c>
      <c r="AN109" s="78">
        <v>40220.209756944445</v>
      </c>
      <c r="AO109" s="76" t="s">
        <v>851</v>
      </c>
      <c r="AP109" s="76" t="s">
        <v>1842</v>
      </c>
      <c r="AQ109" s="82" t="str">
        <f>HYPERLINK("https://t.co/A75WxtwTrZ")</f>
        <v>https://t.co/A75WxtwTrZ</v>
      </c>
      <c r="AR109" s="82" t="str">
        <f>HYPERLINK("https://www.youtube.com/channel/UCNKw8LH5ccv2EtoI1tw5FeQ")</f>
        <v>https://www.youtube.com/channel/UCNKw8LH5ccv2EtoI1tw5FeQ</v>
      </c>
      <c r="AS109" s="76" t="s">
        <v>2002</v>
      </c>
      <c r="AT109" s="76"/>
      <c r="AU109" s="76"/>
      <c r="AV109" s="76"/>
      <c r="AW109" s="76"/>
      <c r="AX109" s="82" t="str">
        <f>HYPERLINK("https://t.co/A75WxtwTrZ")</f>
        <v>https://t.co/A75WxtwTrZ</v>
      </c>
      <c r="AY109" s="76" t="b">
        <v>0</v>
      </c>
      <c r="AZ109" s="76"/>
      <c r="BA109" s="76"/>
      <c r="BB109" s="76" t="b">
        <v>1</v>
      </c>
      <c r="BC109" s="76" t="b">
        <v>1</v>
      </c>
      <c r="BD109" s="76" t="b">
        <v>0</v>
      </c>
      <c r="BE109" s="76" t="b">
        <v>0</v>
      </c>
      <c r="BF109" s="76" t="b">
        <v>1</v>
      </c>
      <c r="BG109" s="76" t="b">
        <v>0</v>
      </c>
      <c r="BH109" s="76" t="b">
        <v>0</v>
      </c>
      <c r="BI109" s="82" t="str">
        <f>HYPERLINK("https://pbs.twimg.com/profile_banners/113248179/1475036251")</f>
        <v>https://pbs.twimg.com/profile_banners/113248179/1475036251</v>
      </c>
      <c r="BJ109" s="76"/>
      <c r="BK109" s="76" t="s">
        <v>2092</v>
      </c>
      <c r="BL109" s="76" t="b">
        <v>0</v>
      </c>
      <c r="BM109" s="76"/>
      <c r="BN109" s="76" t="s">
        <v>66</v>
      </c>
      <c r="BO109" s="76" t="s">
        <v>2094</v>
      </c>
      <c r="BP109" s="82" t="str">
        <f>HYPERLINK("https://twitter.com/robotvirgin")</f>
        <v>https://twitter.com/robotvirgin</v>
      </c>
      <c r="BQ109" s="76" t="str">
        <f>REPLACE(INDEX(GroupVertices[Group],MATCH("~"&amp;Vertices[[#This Row],[Vertex]],GroupVertices[Vertex],0)),1,1,"")</f>
        <v>1</v>
      </c>
      <c r="BR109" s="45">
        <v>2</v>
      </c>
      <c r="BS109" s="46">
        <v>5.555555555555555</v>
      </c>
      <c r="BT109" s="45">
        <v>2</v>
      </c>
      <c r="BU109" s="46">
        <v>5.555555555555555</v>
      </c>
      <c r="BV109" s="45">
        <v>0</v>
      </c>
      <c r="BW109" s="46">
        <v>0</v>
      </c>
      <c r="BX109" s="45">
        <v>17</v>
      </c>
      <c r="BY109" s="46">
        <v>47.22222222222222</v>
      </c>
      <c r="BZ109" s="45">
        <v>36</v>
      </c>
      <c r="CA109" s="45"/>
      <c r="CB109" s="45"/>
      <c r="CC109" s="45"/>
      <c r="CD109" s="45"/>
      <c r="CE109" s="45"/>
      <c r="CF109" s="45"/>
      <c r="CG109" s="114" t="s">
        <v>11334</v>
      </c>
      <c r="CH109" s="114" t="s">
        <v>11334</v>
      </c>
      <c r="CI109" s="114" t="s">
        <v>11463</v>
      </c>
      <c r="CJ109" s="114" t="s">
        <v>11463</v>
      </c>
      <c r="CK109" s="2"/>
    </row>
    <row r="110" spans="1:89" ht="41.45" customHeight="1">
      <c r="A110" s="61" t="s">
        <v>272</v>
      </c>
      <c r="C110" s="62"/>
      <c r="D110" s="62" t="s">
        <v>64</v>
      </c>
      <c r="E110" s="63">
        <v>70</v>
      </c>
      <c r="F110" s="65"/>
      <c r="G110" s="101" t="str">
        <f>HYPERLINK("https://pbs.twimg.com/profile_images/1365860689361862657/4Mg2YzeF_normal.jpg")</f>
        <v>https://pbs.twimg.com/profile_images/1365860689361862657/4Mg2YzeF_normal.jpg</v>
      </c>
      <c r="H110" s="62"/>
      <c r="I110" s="66" t="s">
        <v>272</v>
      </c>
      <c r="J110" s="67"/>
      <c r="K110" s="67" t="s">
        <v>75</v>
      </c>
      <c r="L110" s="66" t="s">
        <v>2192</v>
      </c>
      <c r="M110" s="70">
        <v>1</v>
      </c>
      <c r="N110" s="71">
        <v>5634.0361328125</v>
      </c>
      <c r="O110" s="71">
        <v>961.3453979492188</v>
      </c>
      <c r="P110" s="72"/>
      <c r="Q110" s="73"/>
      <c r="R110" s="73"/>
      <c r="S110" s="87"/>
      <c r="T110" s="45">
        <v>0</v>
      </c>
      <c r="U110" s="45">
        <v>1</v>
      </c>
      <c r="V110" s="46">
        <v>0</v>
      </c>
      <c r="W110" s="46">
        <v>0.004695</v>
      </c>
      <c r="X110" s="46">
        <v>0</v>
      </c>
      <c r="Y110" s="46">
        <v>0.004673</v>
      </c>
      <c r="Z110" s="46">
        <v>0</v>
      </c>
      <c r="AA110" s="46">
        <v>0</v>
      </c>
      <c r="AB110" s="68">
        <v>101</v>
      </c>
      <c r="AC110" s="68"/>
      <c r="AD110" s="69"/>
      <c r="AE110" s="76" t="s">
        <v>1425</v>
      </c>
      <c r="AF110" s="80" t="s">
        <v>1257</v>
      </c>
      <c r="AG110" s="76">
        <v>112</v>
      </c>
      <c r="AH110" s="76">
        <v>211</v>
      </c>
      <c r="AI110" s="76">
        <v>9682</v>
      </c>
      <c r="AJ110" s="76">
        <v>0</v>
      </c>
      <c r="AK110" s="76">
        <v>4266</v>
      </c>
      <c r="AL110" s="76">
        <v>1207</v>
      </c>
      <c r="AM110" s="76" t="b">
        <v>0</v>
      </c>
      <c r="AN110" s="78">
        <v>43533.72828703704</v>
      </c>
      <c r="AO110" s="76" t="s">
        <v>852</v>
      </c>
      <c r="AP110" s="76" t="s">
        <v>1843</v>
      </c>
      <c r="AQ110" s="76"/>
      <c r="AR110" s="76"/>
      <c r="AS110" s="76"/>
      <c r="AT110" s="76"/>
      <c r="AU110" s="76"/>
      <c r="AV110" s="76"/>
      <c r="AW110" s="76"/>
      <c r="AX110" s="76"/>
      <c r="AY110" s="76" t="b">
        <v>0</v>
      </c>
      <c r="AZ110" s="76"/>
      <c r="BA110" s="76"/>
      <c r="BB110" s="76" t="b">
        <v>0</v>
      </c>
      <c r="BC110" s="76" t="b">
        <v>1</v>
      </c>
      <c r="BD110" s="76" t="b">
        <v>1</v>
      </c>
      <c r="BE110" s="76" t="b">
        <v>0</v>
      </c>
      <c r="BF110" s="76" t="b">
        <v>1</v>
      </c>
      <c r="BG110" s="76" t="b">
        <v>0</v>
      </c>
      <c r="BH110" s="76" t="b">
        <v>0</v>
      </c>
      <c r="BI110" s="82" t="str">
        <f>HYPERLINK("https://pbs.twimg.com/profile_banners/1104433853110743040/1662181070")</f>
        <v>https://pbs.twimg.com/profile_banners/1104433853110743040/1662181070</v>
      </c>
      <c r="BJ110" s="76"/>
      <c r="BK110" s="76" t="s">
        <v>2092</v>
      </c>
      <c r="BL110" s="76" t="b">
        <v>0</v>
      </c>
      <c r="BM110" s="76"/>
      <c r="BN110" s="76" t="s">
        <v>66</v>
      </c>
      <c r="BO110" s="76" t="s">
        <v>2094</v>
      </c>
      <c r="BP110" s="82" t="str">
        <f>HYPERLINK("https://twitter.com/shooty_mcbooty")</f>
        <v>https://twitter.com/shooty_mcbooty</v>
      </c>
      <c r="BQ110" s="76" t="str">
        <f>REPLACE(INDEX(GroupVertices[Group],MATCH("~"&amp;Vertices[[#This Row],[Vertex]],GroupVertices[Vertex],0)),1,1,"")</f>
        <v>53</v>
      </c>
      <c r="BR110" s="45">
        <v>0</v>
      </c>
      <c r="BS110" s="46">
        <v>0</v>
      </c>
      <c r="BT110" s="45">
        <v>2</v>
      </c>
      <c r="BU110" s="46">
        <v>15.384615384615385</v>
      </c>
      <c r="BV110" s="45">
        <v>0</v>
      </c>
      <c r="BW110" s="46">
        <v>0</v>
      </c>
      <c r="BX110" s="45">
        <v>6</v>
      </c>
      <c r="BY110" s="46">
        <v>46.15384615384615</v>
      </c>
      <c r="BZ110" s="45">
        <v>13</v>
      </c>
      <c r="CA110" s="45"/>
      <c r="CB110" s="45"/>
      <c r="CC110" s="45"/>
      <c r="CD110" s="45"/>
      <c r="CE110" s="45"/>
      <c r="CF110" s="45"/>
      <c r="CG110" s="114" t="s">
        <v>11335</v>
      </c>
      <c r="CH110" s="114" t="s">
        <v>11335</v>
      </c>
      <c r="CI110" s="114" t="s">
        <v>11464</v>
      </c>
      <c r="CJ110" s="114" t="s">
        <v>11464</v>
      </c>
      <c r="CK110" s="2"/>
    </row>
    <row r="111" spans="1:89" ht="41.45" customHeight="1">
      <c r="A111" s="61" t="s">
        <v>382</v>
      </c>
      <c r="C111" s="62"/>
      <c r="D111" s="62" t="s">
        <v>64</v>
      </c>
      <c r="E111" s="63">
        <v>70</v>
      </c>
      <c r="F111" s="65"/>
      <c r="G111" s="101" t="str">
        <f>HYPERLINK("https://pbs.twimg.com/profile_images/1710420066439720960/MQ-eHHm7_normal.jpg")</f>
        <v>https://pbs.twimg.com/profile_images/1710420066439720960/MQ-eHHm7_normal.jpg</v>
      </c>
      <c r="H111" s="62"/>
      <c r="I111" s="66" t="s">
        <v>382</v>
      </c>
      <c r="J111" s="67"/>
      <c r="K111" s="67" t="s">
        <v>75</v>
      </c>
      <c r="L111" s="66" t="s">
        <v>2193</v>
      </c>
      <c r="M111" s="70">
        <v>2000.6</v>
      </c>
      <c r="N111" s="71">
        <v>5634.0361328125</v>
      </c>
      <c r="O111" s="71">
        <v>354.0472412109375</v>
      </c>
      <c r="P111" s="72"/>
      <c r="Q111" s="73"/>
      <c r="R111" s="73"/>
      <c r="S111" s="87"/>
      <c r="T111" s="45">
        <v>1</v>
      </c>
      <c r="U111" s="45">
        <v>0</v>
      </c>
      <c r="V111" s="46">
        <v>0</v>
      </c>
      <c r="W111" s="46">
        <v>0.004695</v>
      </c>
      <c r="X111" s="46">
        <v>0</v>
      </c>
      <c r="Y111" s="46">
        <v>0.004673</v>
      </c>
      <c r="Z111" s="46">
        <v>0</v>
      </c>
      <c r="AA111" s="46">
        <v>0</v>
      </c>
      <c r="AB111" s="68">
        <v>102</v>
      </c>
      <c r="AC111" s="68"/>
      <c r="AD111" s="69"/>
      <c r="AE111" s="76" t="s">
        <v>1426</v>
      </c>
      <c r="AF111" s="80" t="s">
        <v>1171</v>
      </c>
      <c r="AG111" s="76">
        <v>9069</v>
      </c>
      <c r="AH111" s="76">
        <v>1842</v>
      </c>
      <c r="AI111" s="76">
        <v>55748</v>
      </c>
      <c r="AJ111" s="76">
        <v>47</v>
      </c>
      <c r="AK111" s="76">
        <v>108597</v>
      </c>
      <c r="AL111" s="76">
        <v>15694</v>
      </c>
      <c r="AM111" s="76" t="b">
        <v>0</v>
      </c>
      <c r="AN111" s="78">
        <v>43878.873715277776</v>
      </c>
      <c r="AO111" s="76"/>
      <c r="AP111" s="76" t="s">
        <v>1844</v>
      </c>
      <c r="AQ111" s="76"/>
      <c r="AR111" s="76"/>
      <c r="AS111" s="76"/>
      <c r="AT111" s="76"/>
      <c r="AU111" s="76"/>
      <c r="AV111" s="76"/>
      <c r="AW111" s="76">
        <v>1.71107000676984E+18</v>
      </c>
      <c r="AX111" s="76"/>
      <c r="AY111" s="76" t="b">
        <v>0</v>
      </c>
      <c r="AZ111" s="76"/>
      <c r="BA111" s="76"/>
      <c r="BB111" s="76" t="b">
        <v>1</v>
      </c>
      <c r="BC111" s="76" t="b">
        <v>0</v>
      </c>
      <c r="BD111" s="76" t="b">
        <v>1</v>
      </c>
      <c r="BE111" s="76" t="b">
        <v>0</v>
      </c>
      <c r="BF111" s="76" t="b">
        <v>1</v>
      </c>
      <c r="BG111" s="76" t="b">
        <v>0</v>
      </c>
      <c r="BH111" s="76" t="b">
        <v>0</v>
      </c>
      <c r="BI111" s="82" t="str">
        <f>HYPERLINK("https://pbs.twimg.com/profile_banners/1229510264074141696/1655562905")</f>
        <v>https://pbs.twimg.com/profile_banners/1229510264074141696/1655562905</v>
      </c>
      <c r="BJ111" s="76"/>
      <c r="BK111" s="76" t="s">
        <v>2092</v>
      </c>
      <c r="BL111" s="76" t="b">
        <v>0</v>
      </c>
      <c r="BM111" s="76"/>
      <c r="BN111" s="76" t="s">
        <v>65</v>
      </c>
      <c r="BO111" s="76" t="s">
        <v>2094</v>
      </c>
      <c r="BP111" s="82" t="str">
        <f>HYPERLINK("https://twitter.com/steakfrankhouse")</f>
        <v>https://twitter.com/steakfrankhouse</v>
      </c>
      <c r="BQ111" s="76" t="str">
        <f>REPLACE(INDEX(GroupVertices[Group],MATCH("~"&amp;Vertices[[#This Row],[Vertex]],GroupVertices[Vertex],0)),1,1,"")</f>
        <v>53</v>
      </c>
      <c r="BR111" s="45"/>
      <c r="BS111" s="46"/>
      <c r="BT111" s="45"/>
      <c r="BU111" s="46"/>
      <c r="BV111" s="45"/>
      <c r="BW111" s="46"/>
      <c r="BX111" s="45"/>
      <c r="BY111" s="46"/>
      <c r="BZ111" s="45"/>
      <c r="CA111" s="45"/>
      <c r="CB111" s="45"/>
      <c r="CC111" s="45"/>
      <c r="CD111" s="45"/>
      <c r="CE111" s="45"/>
      <c r="CF111" s="45"/>
      <c r="CG111" s="45"/>
      <c r="CH111" s="45"/>
      <c r="CI111" s="45"/>
      <c r="CJ111" s="45"/>
      <c r="CK111" s="2"/>
    </row>
    <row r="112" spans="1:89" ht="41.45" customHeight="1">
      <c r="A112" s="61" t="s">
        <v>273</v>
      </c>
      <c r="C112" s="62"/>
      <c r="D112" s="62" t="s">
        <v>64</v>
      </c>
      <c r="E112" s="63">
        <v>70</v>
      </c>
      <c r="F112" s="65"/>
      <c r="G112" s="101" t="str">
        <f>HYPERLINK("https://pbs.twimg.com/profile_images/1661788957552820224/HIMWkMS1_normal.jpg")</f>
        <v>https://pbs.twimg.com/profile_images/1661788957552820224/HIMWkMS1_normal.jpg</v>
      </c>
      <c r="H112" s="62"/>
      <c r="I112" s="66" t="s">
        <v>273</v>
      </c>
      <c r="J112" s="67"/>
      <c r="K112" s="67" t="s">
        <v>75</v>
      </c>
      <c r="L112" s="66" t="s">
        <v>2194</v>
      </c>
      <c r="M112" s="70">
        <v>1</v>
      </c>
      <c r="N112" s="71">
        <v>5634.0361328125</v>
      </c>
      <c r="O112" s="71">
        <v>3486.29443359375</v>
      </c>
      <c r="P112" s="72"/>
      <c r="Q112" s="73"/>
      <c r="R112" s="73"/>
      <c r="S112" s="87"/>
      <c r="T112" s="45">
        <v>0</v>
      </c>
      <c r="U112" s="45">
        <v>1</v>
      </c>
      <c r="V112" s="46">
        <v>0</v>
      </c>
      <c r="W112" s="46">
        <v>0.004695</v>
      </c>
      <c r="X112" s="46">
        <v>0</v>
      </c>
      <c r="Y112" s="46">
        <v>0.004673</v>
      </c>
      <c r="Z112" s="46">
        <v>0</v>
      </c>
      <c r="AA112" s="46">
        <v>0</v>
      </c>
      <c r="AB112" s="68">
        <v>103</v>
      </c>
      <c r="AC112" s="68"/>
      <c r="AD112" s="69"/>
      <c r="AE112" s="76" t="s">
        <v>1427</v>
      </c>
      <c r="AF112" s="80" t="s">
        <v>1258</v>
      </c>
      <c r="AG112" s="76">
        <v>728</v>
      </c>
      <c r="AH112" s="76">
        <v>103</v>
      </c>
      <c r="AI112" s="76">
        <v>3026</v>
      </c>
      <c r="AJ112" s="76">
        <v>13</v>
      </c>
      <c r="AK112" s="76">
        <v>13538</v>
      </c>
      <c r="AL112" s="76">
        <v>805</v>
      </c>
      <c r="AM112" s="76" t="b">
        <v>0</v>
      </c>
      <c r="AN112" s="78">
        <v>44476.72125</v>
      </c>
      <c r="AO112" s="76" t="s">
        <v>1693</v>
      </c>
      <c r="AP112" s="76" t="s">
        <v>1845</v>
      </c>
      <c r="AQ112" s="76"/>
      <c r="AR112" s="76"/>
      <c r="AS112" s="76"/>
      <c r="AT112" s="76"/>
      <c r="AU112" s="76"/>
      <c r="AV112" s="76"/>
      <c r="AW112" s="76">
        <v>1.52732801429539E+18</v>
      </c>
      <c r="AX112" s="76"/>
      <c r="AY112" s="76" t="b">
        <v>0</v>
      </c>
      <c r="AZ112" s="76"/>
      <c r="BA112" s="76"/>
      <c r="BB112" s="76" t="b">
        <v>0</v>
      </c>
      <c r="BC112" s="76" t="b">
        <v>1</v>
      </c>
      <c r="BD112" s="76" t="b">
        <v>1</v>
      </c>
      <c r="BE112" s="76" t="b">
        <v>0</v>
      </c>
      <c r="BF112" s="76" t="b">
        <v>1</v>
      </c>
      <c r="BG112" s="76" t="b">
        <v>0</v>
      </c>
      <c r="BH112" s="76" t="b">
        <v>0</v>
      </c>
      <c r="BI112" s="82" t="str">
        <f>HYPERLINK("https://pbs.twimg.com/profile_banners/1446162783913975818/1675977016")</f>
        <v>https://pbs.twimg.com/profile_banners/1446162783913975818/1675977016</v>
      </c>
      <c r="BJ112" s="76"/>
      <c r="BK112" s="76" t="s">
        <v>2092</v>
      </c>
      <c r="BL112" s="76" t="b">
        <v>0</v>
      </c>
      <c r="BM112" s="76"/>
      <c r="BN112" s="76" t="s">
        <v>66</v>
      </c>
      <c r="BO112" s="76" t="s">
        <v>2094</v>
      </c>
      <c r="BP112" s="82" t="str">
        <f>HYPERLINK("https://twitter.com/theemsmolly")</f>
        <v>https://twitter.com/theemsmolly</v>
      </c>
      <c r="BQ112" s="76" t="str">
        <f>REPLACE(INDEX(GroupVertices[Group],MATCH("~"&amp;Vertices[[#This Row],[Vertex]],GroupVertices[Vertex],0)),1,1,"")</f>
        <v>52</v>
      </c>
      <c r="BR112" s="45">
        <v>1</v>
      </c>
      <c r="BS112" s="46">
        <v>2</v>
      </c>
      <c r="BT112" s="45">
        <v>0</v>
      </c>
      <c r="BU112" s="46">
        <v>0</v>
      </c>
      <c r="BV112" s="45">
        <v>0</v>
      </c>
      <c r="BW112" s="46">
        <v>0</v>
      </c>
      <c r="BX112" s="45">
        <v>16</v>
      </c>
      <c r="BY112" s="46">
        <v>32</v>
      </c>
      <c r="BZ112" s="45">
        <v>50</v>
      </c>
      <c r="CA112" s="45"/>
      <c r="CB112" s="45"/>
      <c r="CC112" s="45"/>
      <c r="CD112" s="45"/>
      <c r="CE112" s="45"/>
      <c r="CF112" s="45"/>
      <c r="CG112" s="114" t="s">
        <v>11336</v>
      </c>
      <c r="CH112" s="114" t="s">
        <v>11336</v>
      </c>
      <c r="CI112" s="114" t="s">
        <v>11465</v>
      </c>
      <c r="CJ112" s="114" t="s">
        <v>11465</v>
      </c>
      <c r="CK112" s="2"/>
    </row>
    <row r="113" spans="1:89" ht="41.45" customHeight="1">
      <c r="A113" s="61" t="s">
        <v>383</v>
      </c>
      <c r="C113" s="62"/>
      <c r="D113" s="62" t="s">
        <v>64</v>
      </c>
      <c r="E113" s="63">
        <v>70</v>
      </c>
      <c r="F113" s="65"/>
      <c r="G113" s="101" t="str">
        <f>HYPERLINK("https://pbs.twimg.com/profile_images/1581014308397502464/NPogKMyk_normal.jpg")</f>
        <v>https://pbs.twimg.com/profile_images/1581014308397502464/NPogKMyk_normal.jpg</v>
      </c>
      <c r="H113" s="62"/>
      <c r="I113" s="66" t="s">
        <v>383</v>
      </c>
      <c r="J113" s="67"/>
      <c r="K113" s="67" t="s">
        <v>75</v>
      </c>
      <c r="L113" s="66" t="s">
        <v>2195</v>
      </c>
      <c r="M113" s="70">
        <v>2000.6</v>
      </c>
      <c r="N113" s="71">
        <v>5634.0361328125</v>
      </c>
      <c r="O113" s="71">
        <v>2878.99658203125</v>
      </c>
      <c r="P113" s="72"/>
      <c r="Q113" s="73"/>
      <c r="R113" s="73"/>
      <c r="S113" s="87"/>
      <c r="T113" s="45">
        <v>1</v>
      </c>
      <c r="U113" s="45">
        <v>0</v>
      </c>
      <c r="V113" s="46">
        <v>0</v>
      </c>
      <c r="W113" s="46">
        <v>0.004695</v>
      </c>
      <c r="X113" s="46">
        <v>0</v>
      </c>
      <c r="Y113" s="46">
        <v>0.004673</v>
      </c>
      <c r="Z113" s="46">
        <v>0</v>
      </c>
      <c r="AA113" s="46">
        <v>0</v>
      </c>
      <c r="AB113" s="68">
        <v>104</v>
      </c>
      <c r="AC113" s="68"/>
      <c r="AD113" s="69"/>
      <c r="AE113" s="76" t="s">
        <v>1428</v>
      </c>
      <c r="AF113" s="80" t="s">
        <v>1172</v>
      </c>
      <c r="AG113" s="76">
        <v>763130</v>
      </c>
      <c r="AH113" s="76">
        <v>510</v>
      </c>
      <c r="AI113" s="76">
        <v>44212</v>
      </c>
      <c r="AJ113" s="76">
        <v>2133</v>
      </c>
      <c r="AK113" s="76">
        <v>29856</v>
      </c>
      <c r="AL113" s="76">
        <v>7601</v>
      </c>
      <c r="AM113" s="76" t="b">
        <v>0</v>
      </c>
      <c r="AN113" s="78">
        <v>44229.11728009259</v>
      </c>
      <c r="AO113" s="76" t="s">
        <v>1694</v>
      </c>
      <c r="AP113" s="76" t="s">
        <v>1846</v>
      </c>
      <c r="AQ113" s="76"/>
      <c r="AR113" s="76"/>
      <c r="AS113" s="76"/>
      <c r="AT113" s="76"/>
      <c r="AU113" s="76"/>
      <c r="AV113" s="76"/>
      <c r="AW113" s="76">
        <v>1.67558981175363E+18</v>
      </c>
      <c r="AX113" s="76"/>
      <c r="AY113" s="76" t="b">
        <v>1</v>
      </c>
      <c r="AZ113" s="76"/>
      <c r="BA113" s="76"/>
      <c r="BB113" s="76" t="b">
        <v>0</v>
      </c>
      <c r="BC113" s="76" t="b">
        <v>0</v>
      </c>
      <c r="BD113" s="76" t="b">
        <v>1</v>
      </c>
      <c r="BE113" s="76" t="b">
        <v>0</v>
      </c>
      <c r="BF113" s="76" t="b">
        <v>1</v>
      </c>
      <c r="BG113" s="76" t="b">
        <v>0</v>
      </c>
      <c r="BH113" s="76" t="b">
        <v>0</v>
      </c>
      <c r="BI113" s="82" t="str">
        <f>HYPERLINK("https://pbs.twimg.com/profile_banners/1356434353623093249/1615258701")</f>
        <v>https://pbs.twimg.com/profile_banners/1356434353623093249/1615258701</v>
      </c>
      <c r="BJ113" s="76"/>
      <c r="BK113" s="76" t="s">
        <v>2092</v>
      </c>
      <c r="BL113" s="76" t="b">
        <v>0</v>
      </c>
      <c r="BM113" s="76"/>
      <c r="BN113" s="76" t="s">
        <v>65</v>
      </c>
      <c r="BO113" s="76" t="s">
        <v>2094</v>
      </c>
      <c r="BP113" s="82" t="str">
        <f>HYPERLINK("https://twitter.com/greg16676935420")</f>
        <v>https://twitter.com/greg16676935420</v>
      </c>
      <c r="BQ113" s="76" t="str">
        <f>REPLACE(INDEX(GroupVertices[Group],MATCH("~"&amp;Vertices[[#This Row],[Vertex]],GroupVertices[Vertex],0)),1,1,"")</f>
        <v>52</v>
      </c>
      <c r="BR113" s="45"/>
      <c r="BS113" s="46"/>
      <c r="BT113" s="45"/>
      <c r="BU113" s="46"/>
      <c r="BV113" s="45"/>
      <c r="BW113" s="46"/>
      <c r="BX113" s="45"/>
      <c r="BY113" s="46"/>
      <c r="BZ113" s="45"/>
      <c r="CA113" s="45"/>
      <c r="CB113" s="45"/>
      <c r="CC113" s="45"/>
      <c r="CD113" s="45"/>
      <c r="CE113" s="45"/>
      <c r="CF113" s="45"/>
      <c r="CG113" s="45"/>
      <c r="CH113" s="45"/>
      <c r="CI113" s="45"/>
      <c r="CJ113" s="45"/>
      <c r="CK113" s="2"/>
    </row>
    <row r="114" spans="1:89" ht="41.45" customHeight="1">
      <c r="A114" s="61" t="s">
        <v>274</v>
      </c>
      <c r="C114" s="62"/>
      <c r="D114" s="62" t="s">
        <v>64</v>
      </c>
      <c r="E114" s="63">
        <v>70</v>
      </c>
      <c r="F114" s="65"/>
      <c r="G114" s="101" t="str">
        <f>HYPERLINK("https://pbs.twimg.com/profile_images/1470867992049172482/6ZgPwl2r_normal.jpg")</f>
        <v>https://pbs.twimg.com/profile_images/1470867992049172482/6ZgPwl2r_normal.jpg</v>
      </c>
      <c r="H114" s="62"/>
      <c r="I114" s="66" t="s">
        <v>274</v>
      </c>
      <c r="J114" s="67"/>
      <c r="K114" s="67" t="s">
        <v>75</v>
      </c>
      <c r="L114" s="66" t="s">
        <v>2196</v>
      </c>
      <c r="M114" s="70">
        <v>1</v>
      </c>
      <c r="N114" s="71">
        <v>5634.0361328125</v>
      </c>
      <c r="O114" s="71">
        <v>6011.24365234375</v>
      </c>
      <c r="P114" s="72"/>
      <c r="Q114" s="73"/>
      <c r="R114" s="73"/>
      <c r="S114" s="87"/>
      <c r="T114" s="45">
        <v>0</v>
      </c>
      <c r="U114" s="45">
        <v>1</v>
      </c>
      <c r="V114" s="46">
        <v>0</v>
      </c>
      <c r="W114" s="46">
        <v>0.004695</v>
      </c>
      <c r="X114" s="46">
        <v>0</v>
      </c>
      <c r="Y114" s="46">
        <v>0.004673</v>
      </c>
      <c r="Z114" s="46">
        <v>0</v>
      </c>
      <c r="AA114" s="46">
        <v>0</v>
      </c>
      <c r="AB114" s="68">
        <v>105</v>
      </c>
      <c r="AC114" s="68"/>
      <c r="AD114" s="69"/>
      <c r="AE114" s="76" t="s">
        <v>1429</v>
      </c>
      <c r="AF114" s="80" t="s">
        <v>1592</v>
      </c>
      <c r="AG114" s="76">
        <v>453</v>
      </c>
      <c r="AH114" s="76">
        <v>1336</v>
      </c>
      <c r="AI114" s="76">
        <v>24655</v>
      </c>
      <c r="AJ114" s="76">
        <v>1</v>
      </c>
      <c r="AK114" s="76">
        <v>61353</v>
      </c>
      <c r="AL114" s="76">
        <v>1392</v>
      </c>
      <c r="AM114" s="76" t="b">
        <v>0</v>
      </c>
      <c r="AN114" s="78">
        <v>42137.1934375</v>
      </c>
      <c r="AO114" s="76" t="s">
        <v>908</v>
      </c>
      <c r="AP114" s="76" t="s">
        <v>1847</v>
      </c>
      <c r="AQ114" s="76"/>
      <c r="AR114" s="76"/>
      <c r="AS114" s="76"/>
      <c r="AT114" s="76"/>
      <c r="AU114" s="76"/>
      <c r="AV114" s="76"/>
      <c r="AW114" s="76"/>
      <c r="AX114" s="76"/>
      <c r="AY114" s="76" t="b">
        <v>0</v>
      </c>
      <c r="AZ114" s="76"/>
      <c r="BA114" s="76"/>
      <c r="BB114" s="76" t="b">
        <v>0</v>
      </c>
      <c r="BC114" s="76" t="b">
        <v>1</v>
      </c>
      <c r="BD114" s="76" t="b">
        <v>1</v>
      </c>
      <c r="BE114" s="76" t="b">
        <v>0</v>
      </c>
      <c r="BF114" s="76" t="b">
        <v>1</v>
      </c>
      <c r="BG114" s="76" t="b">
        <v>0</v>
      </c>
      <c r="BH114" s="76" t="b">
        <v>0</v>
      </c>
      <c r="BI114" s="82" t="str">
        <f>HYPERLINK("https://pbs.twimg.com/profile_banners/3193949707/1639516901")</f>
        <v>https://pbs.twimg.com/profile_banners/3193949707/1639516901</v>
      </c>
      <c r="BJ114" s="76"/>
      <c r="BK114" s="76" t="s">
        <v>2092</v>
      </c>
      <c r="BL114" s="76" t="b">
        <v>0</v>
      </c>
      <c r="BM114" s="76"/>
      <c r="BN114" s="76" t="s">
        <v>66</v>
      </c>
      <c r="BO114" s="76" t="s">
        <v>2094</v>
      </c>
      <c r="BP114" s="82" t="str">
        <f>HYPERLINK("https://twitter.com/fauxnamerice")</f>
        <v>https://twitter.com/fauxnamerice</v>
      </c>
      <c r="BQ114" s="76" t="str">
        <f>REPLACE(INDEX(GroupVertices[Group],MATCH("~"&amp;Vertices[[#This Row],[Vertex]],GroupVertices[Vertex],0)),1,1,"")</f>
        <v>51</v>
      </c>
      <c r="BR114" s="45">
        <v>1</v>
      </c>
      <c r="BS114" s="46">
        <v>7.6923076923076925</v>
      </c>
      <c r="BT114" s="45">
        <v>2</v>
      </c>
      <c r="BU114" s="46">
        <v>15.384615384615385</v>
      </c>
      <c r="BV114" s="45">
        <v>0</v>
      </c>
      <c r="BW114" s="46">
        <v>0</v>
      </c>
      <c r="BX114" s="45">
        <v>5</v>
      </c>
      <c r="BY114" s="46">
        <v>38.46153846153846</v>
      </c>
      <c r="BZ114" s="45">
        <v>13</v>
      </c>
      <c r="CA114" s="45"/>
      <c r="CB114" s="45"/>
      <c r="CC114" s="45"/>
      <c r="CD114" s="45"/>
      <c r="CE114" s="45"/>
      <c r="CF114" s="45"/>
      <c r="CG114" s="114" t="s">
        <v>11337</v>
      </c>
      <c r="CH114" s="114" t="s">
        <v>11337</v>
      </c>
      <c r="CI114" s="114" t="s">
        <v>11466</v>
      </c>
      <c r="CJ114" s="114" t="s">
        <v>11466</v>
      </c>
      <c r="CK114" s="2"/>
    </row>
    <row r="115" spans="1:89" ht="41.45" customHeight="1">
      <c r="A115" s="61" t="s">
        <v>384</v>
      </c>
      <c r="C115" s="62"/>
      <c r="D115" s="62" t="s">
        <v>64</v>
      </c>
      <c r="E115" s="63">
        <v>70</v>
      </c>
      <c r="F115" s="65"/>
      <c r="G115" s="101" t="str">
        <f>HYPERLINK("https://pbs.twimg.com/profile_images/1749441318844002304/J8Xl751O_normal.jpg")</f>
        <v>https://pbs.twimg.com/profile_images/1749441318844002304/J8Xl751O_normal.jpg</v>
      </c>
      <c r="H115" s="62"/>
      <c r="I115" s="66" t="s">
        <v>384</v>
      </c>
      <c r="J115" s="67"/>
      <c r="K115" s="67" t="s">
        <v>75</v>
      </c>
      <c r="L115" s="66" t="s">
        <v>2197</v>
      </c>
      <c r="M115" s="70">
        <v>2000.6</v>
      </c>
      <c r="N115" s="71">
        <v>5634.0361328125</v>
      </c>
      <c r="O115" s="71">
        <v>5403.94580078125</v>
      </c>
      <c r="P115" s="72"/>
      <c r="Q115" s="73"/>
      <c r="R115" s="73"/>
      <c r="S115" s="87"/>
      <c r="T115" s="45">
        <v>1</v>
      </c>
      <c r="U115" s="45">
        <v>0</v>
      </c>
      <c r="V115" s="46">
        <v>0</v>
      </c>
      <c r="W115" s="46">
        <v>0.004695</v>
      </c>
      <c r="X115" s="46">
        <v>0</v>
      </c>
      <c r="Y115" s="46">
        <v>0.004673</v>
      </c>
      <c r="Z115" s="46">
        <v>0</v>
      </c>
      <c r="AA115" s="46">
        <v>0</v>
      </c>
      <c r="AB115" s="68">
        <v>106</v>
      </c>
      <c r="AC115" s="68"/>
      <c r="AD115" s="69"/>
      <c r="AE115" s="76" t="s">
        <v>1430</v>
      </c>
      <c r="AF115" s="80" t="s">
        <v>1173</v>
      </c>
      <c r="AG115" s="76">
        <v>9074</v>
      </c>
      <c r="AH115" s="76">
        <v>4940</v>
      </c>
      <c r="AI115" s="76">
        <v>21327</v>
      </c>
      <c r="AJ115" s="76">
        <v>26</v>
      </c>
      <c r="AK115" s="76">
        <v>129247</v>
      </c>
      <c r="AL115" s="76">
        <v>7727</v>
      </c>
      <c r="AM115" s="76" t="b">
        <v>0</v>
      </c>
      <c r="AN115" s="78">
        <v>43604.692777777775</v>
      </c>
      <c r="AO115" s="76" t="s">
        <v>1695</v>
      </c>
      <c r="AP115" s="76" t="s">
        <v>1848</v>
      </c>
      <c r="AQ115" s="82" t="str">
        <f>HYPERLINK("https://t.co/TeTPYXIJam")</f>
        <v>https://t.co/TeTPYXIJam</v>
      </c>
      <c r="AR115" s="82" t="str">
        <f>HYPERLINK("http://www.wishtender.com/weeders")</f>
        <v>http://www.wishtender.com/weeders</v>
      </c>
      <c r="AS115" s="76" t="s">
        <v>2003</v>
      </c>
      <c r="AT115" s="82" t="str">
        <f>HYPERLINK("https://t.co/46W8Czyy3u")</f>
        <v>https://t.co/46W8Czyy3u</v>
      </c>
      <c r="AU115" s="82" t="str">
        <f>HYPERLINK("http://paypal.me/saramesservey1")</f>
        <v>http://paypal.me/saramesservey1</v>
      </c>
      <c r="AV115" s="76" t="s">
        <v>2076</v>
      </c>
      <c r="AW115" s="76">
        <v>1.75196694017468E+18</v>
      </c>
      <c r="AX115" s="82" t="str">
        <f>HYPERLINK("https://t.co/TeTPYXIJam")</f>
        <v>https://t.co/TeTPYXIJam</v>
      </c>
      <c r="AY115" s="76" t="b">
        <v>1</v>
      </c>
      <c r="AZ115" s="76"/>
      <c r="BA115" s="76"/>
      <c r="BB115" s="76" t="b">
        <v>0</v>
      </c>
      <c r="BC115" s="76" t="b">
        <v>0</v>
      </c>
      <c r="BD115" s="76" t="b">
        <v>1</v>
      </c>
      <c r="BE115" s="76" t="b">
        <v>0</v>
      </c>
      <c r="BF115" s="76" t="b">
        <v>0</v>
      </c>
      <c r="BG115" s="76" t="b">
        <v>0</v>
      </c>
      <c r="BH115" s="76" t="b">
        <v>0</v>
      </c>
      <c r="BI115" s="82" t="str">
        <f>HYPERLINK("https://pbs.twimg.com/profile_banners/1130150522483290112/1705934290")</f>
        <v>https://pbs.twimg.com/profile_banners/1130150522483290112/1705934290</v>
      </c>
      <c r="BJ115" s="76"/>
      <c r="BK115" s="76" t="s">
        <v>2092</v>
      </c>
      <c r="BL115" s="76" t="b">
        <v>0</v>
      </c>
      <c r="BM115" s="76"/>
      <c r="BN115" s="76" t="s">
        <v>65</v>
      </c>
      <c r="BO115" s="76" t="s">
        <v>2094</v>
      </c>
      <c r="BP115" s="82" t="str">
        <f>HYPERLINK("https://twitter.com/weedlings73")</f>
        <v>https://twitter.com/weedlings73</v>
      </c>
      <c r="BQ115" s="76" t="str">
        <f>REPLACE(INDEX(GroupVertices[Group],MATCH("~"&amp;Vertices[[#This Row],[Vertex]],GroupVertices[Vertex],0)),1,1,"")</f>
        <v>51</v>
      </c>
      <c r="BR115" s="45"/>
      <c r="BS115" s="46"/>
      <c r="BT115" s="45"/>
      <c r="BU115" s="46"/>
      <c r="BV115" s="45"/>
      <c r="BW115" s="46"/>
      <c r="BX115" s="45"/>
      <c r="BY115" s="46"/>
      <c r="BZ115" s="45"/>
      <c r="CA115" s="45"/>
      <c r="CB115" s="45"/>
      <c r="CC115" s="45"/>
      <c r="CD115" s="45"/>
      <c r="CE115" s="45"/>
      <c r="CF115" s="45"/>
      <c r="CG115" s="45"/>
      <c r="CH115" s="45"/>
      <c r="CI115" s="45"/>
      <c r="CJ115" s="45"/>
      <c r="CK115" s="2"/>
    </row>
    <row r="116" spans="1:89" ht="41.45" customHeight="1">
      <c r="A116" s="61" t="s">
        <v>275</v>
      </c>
      <c r="C116" s="62"/>
      <c r="D116" s="62" t="s">
        <v>64</v>
      </c>
      <c r="E116" s="63">
        <v>70</v>
      </c>
      <c r="F116" s="65"/>
      <c r="G116" s="101" t="str">
        <f>HYPERLINK("https://pbs.twimg.com/profile_images/1578616541268312064/GHskXwz6_normal.jpg")</f>
        <v>https://pbs.twimg.com/profile_images/1578616541268312064/GHskXwz6_normal.jpg</v>
      </c>
      <c r="H116" s="62"/>
      <c r="I116" s="66" t="s">
        <v>275</v>
      </c>
      <c r="J116" s="67"/>
      <c r="K116" s="67" t="s">
        <v>75</v>
      </c>
      <c r="L116" s="66" t="s">
        <v>2198</v>
      </c>
      <c r="M116" s="70">
        <v>1</v>
      </c>
      <c r="N116" s="71">
        <v>5634.0361328125</v>
      </c>
      <c r="O116" s="71">
        <v>4747.50927734375</v>
      </c>
      <c r="P116" s="72"/>
      <c r="Q116" s="73"/>
      <c r="R116" s="73"/>
      <c r="S116" s="87"/>
      <c r="T116" s="45">
        <v>0</v>
      </c>
      <c r="U116" s="45">
        <v>1</v>
      </c>
      <c r="V116" s="46">
        <v>0</v>
      </c>
      <c r="W116" s="46">
        <v>0.004695</v>
      </c>
      <c r="X116" s="46">
        <v>0</v>
      </c>
      <c r="Y116" s="46">
        <v>0.004673</v>
      </c>
      <c r="Z116" s="46">
        <v>0</v>
      </c>
      <c r="AA116" s="46">
        <v>0</v>
      </c>
      <c r="AB116" s="68">
        <v>107</v>
      </c>
      <c r="AC116" s="68"/>
      <c r="AD116" s="69"/>
      <c r="AE116" s="76" t="s">
        <v>1431</v>
      </c>
      <c r="AF116" s="80" t="s">
        <v>1259</v>
      </c>
      <c r="AG116" s="76">
        <v>135</v>
      </c>
      <c r="AH116" s="76">
        <v>317</v>
      </c>
      <c r="AI116" s="76">
        <v>4898</v>
      </c>
      <c r="AJ116" s="76">
        <v>1</v>
      </c>
      <c r="AK116" s="76">
        <v>4676</v>
      </c>
      <c r="AL116" s="76">
        <v>29</v>
      </c>
      <c r="AM116" s="76" t="b">
        <v>0</v>
      </c>
      <c r="AN116" s="78">
        <v>44809.77454861111</v>
      </c>
      <c r="AO116" s="76"/>
      <c r="AP116" s="76" t="s">
        <v>1849</v>
      </c>
      <c r="AQ116" s="76"/>
      <c r="AR116" s="76"/>
      <c r="AS116" s="76"/>
      <c r="AT116" s="76"/>
      <c r="AU116" s="76"/>
      <c r="AV116" s="76"/>
      <c r="AW116" s="76"/>
      <c r="AX116" s="76"/>
      <c r="AY116" s="76" t="b">
        <v>0</v>
      </c>
      <c r="AZ116" s="76"/>
      <c r="BA116" s="76"/>
      <c r="BB116" s="76" t="b">
        <v>0</v>
      </c>
      <c r="BC116" s="76" t="b">
        <v>1</v>
      </c>
      <c r="BD116" s="76" t="b">
        <v>1</v>
      </c>
      <c r="BE116" s="76" t="b">
        <v>0</v>
      </c>
      <c r="BF116" s="76" t="b">
        <v>1</v>
      </c>
      <c r="BG116" s="76" t="b">
        <v>0</v>
      </c>
      <c r="BH116" s="76" t="b">
        <v>0</v>
      </c>
      <c r="BI116" s="82" t="str">
        <f>HYPERLINK("https://pbs.twimg.com/profile_banners/1566857484455018496/1665206512")</f>
        <v>https://pbs.twimg.com/profile_banners/1566857484455018496/1665206512</v>
      </c>
      <c r="BJ116" s="76"/>
      <c r="BK116" s="76" t="s">
        <v>2092</v>
      </c>
      <c r="BL116" s="76" t="b">
        <v>0</v>
      </c>
      <c r="BM116" s="76"/>
      <c r="BN116" s="76" t="s">
        <v>66</v>
      </c>
      <c r="BO116" s="76" t="s">
        <v>2094</v>
      </c>
      <c r="BP116" s="82" t="str">
        <f>HYPERLINK("https://twitter.com/lisaandemma")</f>
        <v>https://twitter.com/lisaandemma</v>
      </c>
      <c r="BQ116" s="76" t="str">
        <f>REPLACE(INDEX(GroupVertices[Group],MATCH("~"&amp;Vertices[[#This Row],[Vertex]],GroupVertices[Vertex],0)),1,1,"")</f>
        <v>50</v>
      </c>
      <c r="BR116" s="45">
        <v>1</v>
      </c>
      <c r="BS116" s="46">
        <v>3.225806451612903</v>
      </c>
      <c r="BT116" s="45">
        <v>3</v>
      </c>
      <c r="BU116" s="46">
        <v>9.67741935483871</v>
      </c>
      <c r="BV116" s="45">
        <v>0</v>
      </c>
      <c r="BW116" s="46">
        <v>0</v>
      </c>
      <c r="BX116" s="45">
        <v>9</v>
      </c>
      <c r="BY116" s="46">
        <v>29.032258064516128</v>
      </c>
      <c r="BZ116" s="45">
        <v>31</v>
      </c>
      <c r="CA116" s="45"/>
      <c r="CB116" s="45"/>
      <c r="CC116" s="45"/>
      <c r="CD116" s="45"/>
      <c r="CE116" s="45"/>
      <c r="CF116" s="45"/>
      <c r="CG116" s="114" t="s">
        <v>11338</v>
      </c>
      <c r="CH116" s="114" t="s">
        <v>11338</v>
      </c>
      <c r="CI116" s="114" t="s">
        <v>11467</v>
      </c>
      <c r="CJ116" s="114" t="s">
        <v>11467</v>
      </c>
      <c r="CK116" s="2"/>
    </row>
    <row r="117" spans="1:89" ht="41.45" customHeight="1">
      <c r="A117" s="61" t="s">
        <v>385</v>
      </c>
      <c r="C117" s="62"/>
      <c r="D117" s="62" t="s">
        <v>64</v>
      </c>
      <c r="E117" s="63">
        <v>70</v>
      </c>
      <c r="F117" s="65"/>
      <c r="G117" s="101" t="str">
        <f>HYPERLINK("https://pbs.twimg.com/profile_images/1201992134431301632/1LjVPCFA_normal.jpg")</f>
        <v>https://pbs.twimg.com/profile_images/1201992134431301632/1LjVPCFA_normal.jpg</v>
      </c>
      <c r="H117" s="62"/>
      <c r="I117" s="66" t="s">
        <v>385</v>
      </c>
      <c r="J117" s="67"/>
      <c r="K117" s="67" t="s">
        <v>75</v>
      </c>
      <c r="L117" s="66" t="s">
        <v>2199</v>
      </c>
      <c r="M117" s="70">
        <v>2000.6</v>
      </c>
      <c r="N117" s="71">
        <v>5634.0361328125</v>
      </c>
      <c r="O117" s="71">
        <v>4142.73095703125</v>
      </c>
      <c r="P117" s="72"/>
      <c r="Q117" s="73"/>
      <c r="R117" s="73"/>
      <c r="S117" s="87"/>
      <c r="T117" s="45">
        <v>1</v>
      </c>
      <c r="U117" s="45">
        <v>0</v>
      </c>
      <c r="V117" s="46">
        <v>0</v>
      </c>
      <c r="W117" s="46">
        <v>0.004695</v>
      </c>
      <c r="X117" s="46">
        <v>0</v>
      </c>
      <c r="Y117" s="46">
        <v>0.004673</v>
      </c>
      <c r="Z117" s="46">
        <v>0</v>
      </c>
      <c r="AA117" s="46">
        <v>0</v>
      </c>
      <c r="AB117" s="68">
        <v>108</v>
      </c>
      <c r="AC117" s="68"/>
      <c r="AD117" s="69"/>
      <c r="AE117" s="76" t="s">
        <v>1432</v>
      </c>
      <c r="AF117" s="80" t="s">
        <v>1174</v>
      </c>
      <c r="AG117" s="76">
        <v>707295</v>
      </c>
      <c r="AH117" s="76">
        <v>377</v>
      </c>
      <c r="AI117" s="76">
        <v>5172</v>
      </c>
      <c r="AJ117" s="76">
        <v>1535</v>
      </c>
      <c r="AK117" s="76">
        <v>1857</v>
      </c>
      <c r="AL117" s="76">
        <v>991</v>
      </c>
      <c r="AM117" s="76" t="b">
        <v>0</v>
      </c>
      <c r="AN117" s="78">
        <v>43802.83107638889</v>
      </c>
      <c r="AO117" s="76" t="s">
        <v>1696</v>
      </c>
      <c r="AP117" s="76" t="s">
        <v>1850</v>
      </c>
      <c r="AQ117" s="82" t="str">
        <f>HYPERLINK("https://t.co/dDBKSK7UtI")</f>
        <v>https://t.co/dDBKSK7UtI</v>
      </c>
      <c r="AR117" s="82" t="str">
        <f>HYPERLINK("http://www.ronnyjacksontx.com/")</f>
        <v>http://www.ronnyjacksontx.com/</v>
      </c>
      <c r="AS117" s="76" t="s">
        <v>2004</v>
      </c>
      <c r="AT117" s="76"/>
      <c r="AU117" s="76"/>
      <c r="AV117" s="76"/>
      <c r="AW117" s="76">
        <v>1.47559419536053E+18</v>
      </c>
      <c r="AX117" s="82" t="str">
        <f>HYPERLINK("https://t.co/dDBKSK7UtI")</f>
        <v>https://t.co/dDBKSK7UtI</v>
      </c>
      <c r="AY117" s="76" t="b">
        <v>1</v>
      </c>
      <c r="AZ117" s="76"/>
      <c r="BA117" s="76"/>
      <c r="BB117" s="76" t="b">
        <v>0</v>
      </c>
      <c r="BC117" s="76" t="b">
        <v>1</v>
      </c>
      <c r="BD117" s="76" t="b">
        <v>1</v>
      </c>
      <c r="BE117" s="76" t="b">
        <v>0</v>
      </c>
      <c r="BF117" s="76" t="b">
        <v>0</v>
      </c>
      <c r="BG117" s="76" t="b">
        <v>0</v>
      </c>
      <c r="BH117" s="76" t="b">
        <v>0</v>
      </c>
      <c r="BI117" s="82" t="str">
        <f>HYPERLINK("https://pbs.twimg.com/profile_banners/1201953403099893760/1603200945")</f>
        <v>https://pbs.twimg.com/profile_banners/1201953403099893760/1603200945</v>
      </c>
      <c r="BJ117" s="76"/>
      <c r="BK117" s="76" t="s">
        <v>2092</v>
      </c>
      <c r="BL117" s="76" t="b">
        <v>0</v>
      </c>
      <c r="BM117" s="76"/>
      <c r="BN117" s="76" t="s">
        <v>65</v>
      </c>
      <c r="BO117" s="76" t="s">
        <v>2094</v>
      </c>
      <c r="BP117" s="82" t="str">
        <f>HYPERLINK("https://twitter.com/ronnyjacksontx")</f>
        <v>https://twitter.com/ronnyjacksontx</v>
      </c>
      <c r="BQ117" s="76" t="str">
        <f>REPLACE(INDEX(GroupVertices[Group],MATCH("~"&amp;Vertices[[#This Row],[Vertex]],GroupVertices[Vertex],0)),1,1,"")</f>
        <v>50</v>
      </c>
      <c r="BR117" s="45"/>
      <c r="BS117" s="46"/>
      <c r="BT117" s="45"/>
      <c r="BU117" s="46"/>
      <c r="BV117" s="45"/>
      <c r="BW117" s="46"/>
      <c r="BX117" s="45"/>
      <c r="BY117" s="46"/>
      <c r="BZ117" s="45"/>
      <c r="CA117" s="45"/>
      <c r="CB117" s="45"/>
      <c r="CC117" s="45"/>
      <c r="CD117" s="45"/>
      <c r="CE117" s="45"/>
      <c r="CF117" s="45"/>
      <c r="CG117" s="45"/>
      <c r="CH117" s="45"/>
      <c r="CI117" s="45"/>
      <c r="CJ117" s="45"/>
      <c r="CK117" s="2"/>
    </row>
    <row r="118" spans="1:89" ht="41.45" customHeight="1">
      <c r="A118" s="61" t="s">
        <v>276</v>
      </c>
      <c r="C118" s="62"/>
      <c r="D118" s="62" t="s">
        <v>64</v>
      </c>
      <c r="E118" s="63">
        <v>70</v>
      </c>
      <c r="F118" s="65"/>
      <c r="G118" s="101" t="str">
        <f>HYPERLINK("https://pbs.twimg.com/profile_images/1748991831080390656/gkpQDJCd_normal.jpg")</f>
        <v>https://pbs.twimg.com/profile_images/1748991831080390656/gkpQDJCd_normal.jpg</v>
      </c>
      <c r="H118" s="62"/>
      <c r="I118" s="66" t="s">
        <v>276</v>
      </c>
      <c r="J118" s="67"/>
      <c r="K118" s="67" t="s">
        <v>75</v>
      </c>
      <c r="L118" s="66" t="s">
        <v>2200</v>
      </c>
      <c r="M118" s="70">
        <v>2000.6</v>
      </c>
      <c r="N118" s="71">
        <v>1577.314697265625</v>
      </c>
      <c r="O118" s="71">
        <v>8587.8505859375</v>
      </c>
      <c r="P118" s="72"/>
      <c r="Q118" s="73"/>
      <c r="R118" s="73"/>
      <c r="S118" s="87"/>
      <c r="T118" s="45">
        <v>1</v>
      </c>
      <c r="U118" s="45">
        <v>1</v>
      </c>
      <c r="V118" s="46">
        <v>0</v>
      </c>
      <c r="W118" s="46">
        <v>0</v>
      </c>
      <c r="X118" s="46">
        <v>0</v>
      </c>
      <c r="Y118" s="46">
        <v>0.004673</v>
      </c>
      <c r="Z118" s="46">
        <v>0</v>
      </c>
      <c r="AA118" s="46">
        <v>0</v>
      </c>
      <c r="AB118" s="68">
        <v>109</v>
      </c>
      <c r="AC118" s="68"/>
      <c r="AD118" s="69"/>
      <c r="AE118" s="76" t="s">
        <v>1433</v>
      </c>
      <c r="AF118" s="80" t="s">
        <v>1260</v>
      </c>
      <c r="AG118" s="76">
        <v>255</v>
      </c>
      <c r="AH118" s="76">
        <v>677</v>
      </c>
      <c r="AI118" s="76">
        <v>8228</v>
      </c>
      <c r="AJ118" s="76">
        <v>2</v>
      </c>
      <c r="AK118" s="76">
        <v>798</v>
      </c>
      <c r="AL118" s="76">
        <v>456</v>
      </c>
      <c r="AM118" s="76" t="b">
        <v>0</v>
      </c>
      <c r="AN118" s="78">
        <v>45243.05430555555</v>
      </c>
      <c r="AO118" s="76" t="s">
        <v>854</v>
      </c>
      <c r="AP118" s="76" t="s">
        <v>1851</v>
      </c>
      <c r="AQ118" s="76"/>
      <c r="AR118" s="76"/>
      <c r="AS118" s="76"/>
      <c r="AT118" s="76"/>
      <c r="AU118" s="76"/>
      <c r="AV118" s="76"/>
      <c r="AW118" s="76">
        <v>1.74900138639697E+18</v>
      </c>
      <c r="AX118" s="76"/>
      <c r="AY118" s="76" t="b">
        <v>1</v>
      </c>
      <c r="AZ118" s="76"/>
      <c r="BA118" s="76"/>
      <c r="BB118" s="76" t="b">
        <v>0</v>
      </c>
      <c r="BC118" s="76" t="b">
        <v>0</v>
      </c>
      <c r="BD118" s="76" t="b">
        <v>1</v>
      </c>
      <c r="BE118" s="76" t="b">
        <v>0</v>
      </c>
      <c r="BF118" s="76" t="b">
        <v>0</v>
      </c>
      <c r="BG118" s="76" t="b">
        <v>0</v>
      </c>
      <c r="BH118" s="76" t="b">
        <v>0</v>
      </c>
      <c r="BI118" s="82" t="str">
        <f>HYPERLINK("https://pbs.twimg.com/profile_banners/1723872679974047744/1705827133")</f>
        <v>https://pbs.twimg.com/profile_banners/1723872679974047744/1705827133</v>
      </c>
      <c r="BJ118" s="76"/>
      <c r="BK118" s="76" t="s">
        <v>2092</v>
      </c>
      <c r="BL118" s="76" t="b">
        <v>0</v>
      </c>
      <c r="BM118" s="76"/>
      <c r="BN118" s="76" t="s">
        <v>66</v>
      </c>
      <c r="BO118" s="76" t="s">
        <v>2094</v>
      </c>
      <c r="BP118" s="82" t="str">
        <f>HYPERLINK("https://twitter.com/tinastinnett007")</f>
        <v>https://twitter.com/tinastinnett007</v>
      </c>
      <c r="BQ118" s="76" t="str">
        <f>REPLACE(INDEX(GroupVertices[Group],MATCH("~"&amp;Vertices[[#This Row],[Vertex]],GroupVertices[Vertex],0)),1,1,"")</f>
        <v>1</v>
      </c>
      <c r="BR118" s="45">
        <v>0</v>
      </c>
      <c r="BS118" s="46">
        <v>0</v>
      </c>
      <c r="BT118" s="45">
        <v>2</v>
      </c>
      <c r="BU118" s="46">
        <v>4.545454545454546</v>
      </c>
      <c r="BV118" s="45">
        <v>0</v>
      </c>
      <c r="BW118" s="46">
        <v>0</v>
      </c>
      <c r="BX118" s="45">
        <v>23</v>
      </c>
      <c r="BY118" s="46">
        <v>52.27272727272727</v>
      </c>
      <c r="BZ118" s="45">
        <v>44</v>
      </c>
      <c r="CA118" s="45"/>
      <c r="CB118" s="45"/>
      <c r="CC118" s="45"/>
      <c r="CD118" s="45"/>
      <c r="CE118" s="45"/>
      <c r="CF118" s="45"/>
      <c r="CG118" s="114" t="s">
        <v>11339</v>
      </c>
      <c r="CH118" s="114" t="s">
        <v>11339</v>
      </c>
      <c r="CI118" s="114" t="s">
        <v>11468</v>
      </c>
      <c r="CJ118" s="114" t="s">
        <v>11468</v>
      </c>
      <c r="CK118" s="2"/>
    </row>
    <row r="119" spans="1:89" ht="41.45" customHeight="1">
      <c r="A119" s="61" t="s">
        <v>277</v>
      </c>
      <c r="C119" s="62"/>
      <c r="D119" s="62" t="s">
        <v>64</v>
      </c>
      <c r="E119" s="63">
        <v>70</v>
      </c>
      <c r="F119" s="65"/>
      <c r="G119" s="101" t="str">
        <f>HYPERLINK("https://pbs.twimg.com/profile_images/1365454116282015744/plK0nNxu_normal.jpg")</f>
        <v>https://pbs.twimg.com/profile_images/1365454116282015744/plK0nNxu_normal.jpg</v>
      </c>
      <c r="H119" s="62"/>
      <c r="I119" s="66" t="s">
        <v>277</v>
      </c>
      <c r="J119" s="67"/>
      <c r="K119" s="67" t="s">
        <v>75</v>
      </c>
      <c r="L119" s="66" t="s">
        <v>2201</v>
      </c>
      <c r="M119" s="70">
        <v>1</v>
      </c>
      <c r="N119" s="71">
        <v>8321.72265625</v>
      </c>
      <c r="O119" s="71">
        <v>7881.01611328125</v>
      </c>
      <c r="P119" s="72"/>
      <c r="Q119" s="73"/>
      <c r="R119" s="73"/>
      <c r="S119" s="87"/>
      <c r="T119" s="45">
        <v>0</v>
      </c>
      <c r="U119" s="45">
        <v>1</v>
      </c>
      <c r="V119" s="46">
        <v>0</v>
      </c>
      <c r="W119" s="46">
        <v>0.004695</v>
      </c>
      <c r="X119" s="46">
        <v>0</v>
      </c>
      <c r="Y119" s="46">
        <v>0.004673</v>
      </c>
      <c r="Z119" s="46">
        <v>0</v>
      </c>
      <c r="AA119" s="46">
        <v>0</v>
      </c>
      <c r="AB119" s="68">
        <v>110</v>
      </c>
      <c r="AC119" s="68"/>
      <c r="AD119" s="69"/>
      <c r="AE119" s="76" t="s">
        <v>1434</v>
      </c>
      <c r="AF119" s="80" t="s">
        <v>1593</v>
      </c>
      <c r="AG119" s="76">
        <v>3326</v>
      </c>
      <c r="AH119" s="76">
        <v>5002</v>
      </c>
      <c r="AI119" s="76">
        <v>61695</v>
      </c>
      <c r="AJ119" s="76">
        <v>132</v>
      </c>
      <c r="AK119" s="76">
        <v>21635</v>
      </c>
      <c r="AL119" s="76">
        <v>852</v>
      </c>
      <c r="AM119" s="76" t="b">
        <v>0</v>
      </c>
      <c r="AN119" s="78">
        <v>40078.05931712963</v>
      </c>
      <c r="AO119" s="76" t="s">
        <v>852</v>
      </c>
      <c r="AP119" s="76" t="s">
        <v>1852</v>
      </c>
      <c r="AQ119" s="76"/>
      <c r="AR119" s="76"/>
      <c r="AS119" s="76"/>
      <c r="AT119" s="76"/>
      <c r="AU119" s="76"/>
      <c r="AV119" s="76"/>
      <c r="AW119" s="76"/>
      <c r="AX119" s="76"/>
      <c r="AY119" s="76" t="b">
        <v>0</v>
      </c>
      <c r="AZ119" s="76"/>
      <c r="BA119" s="76"/>
      <c r="BB119" s="76" t="b">
        <v>0</v>
      </c>
      <c r="BC119" s="76" t="b">
        <v>0</v>
      </c>
      <c r="BD119" s="76" t="b">
        <v>0</v>
      </c>
      <c r="BE119" s="76" t="b">
        <v>0</v>
      </c>
      <c r="BF119" s="76" t="b">
        <v>1</v>
      </c>
      <c r="BG119" s="76" t="b">
        <v>0</v>
      </c>
      <c r="BH119" s="76" t="b">
        <v>0</v>
      </c>
      <c r="BI119" s="82" t="str">
        <f>HYPERLINK("https://pbs.twimg.com/profile_banners/76211602/1404846168")</f>
        <v>https://pbs.twimg.com/profile_banners/76211602/1404846168</v>
      </c>
      <c r="BJ119" s="76"/>
      <c r="BK119" s="76" t="s">
        <v>2092</v>
      </c>
      <c r="BL119" s="76" t="b">
        <v>0</v>
      </c>
      <c r="BM119" s="76"/>
      <c r="BN119" s="76" t="s">
        <v>66</v>
      </c>
      <c r="BO119" s="76" t="s">
        <v>2094</v>
      </c>
      <c r="BP119" s="82" t="str">
        <f>HYPERLINK("https://twitter.com/pdxfanatic")</f>
        <v>https://twitter.com/pdxfanatic</v>
      </c>
      <c r="BQ119" s="76" t="str">
        <f>REPLACE(INDEX(GroupVertices[Group],MATCH("~"&amp;Vertices[[#This Row],[Vertex]],GroupVertices[Vertex],0)),1,1,"")</f>
        <v>49</v>
      </c>
      <c r="BR119" s="45">
        <v>1</v>
      </c>
      <c r="BS119" s="46">
        <v>2.4390243902439024</v>
      </c>
      <c r="BT119" s="45">
        <v>4</v>
      </c>
      <c r="BU119" s="46">
        <v>9.75609756097561</v>
      </c>
      <c r="BV119" s="45">
        <v>0</v>
      </c>
      <c r="BW119" s="46">
        <v>0</v>
      </c>
      <c r="BX119" s="45">
        <v>14</v>
      </c>
      <c r="BY119" s="46">
        <v>34.146341463414636</v>
      </c>
      <c r="BZ119" s="45">
        <v>41</v>
      </c>
      <c r="CA119" s="45"/>
      <c r="CB119" s="45"/>
      <c r="CC119" s="45"/>
      <c r="CD119" s="45"/>
      <c r="CE119" s="45"/>
      <c r="CF119" s="45"/>
      <c r="CG119" s="114" t="s">
        <v>11340</v>
      </c>
      <c r="CH119" s="114" t="s">
        <v>11340</v>
      </c>
      <c r="CI119" s="114" t="s">
        <v>11469</v>
      </c>
      <c r="CJ119" s="114" t="s">
        <v>11469</v>
      </c>
      <c r="CK119" s="2"/>
    </row>
    <row r="120" spans="1:89" ht="41.45" customHeight="1">
      <c r="A120" s="61" t="s">
        <v>386</v>
      </c>
      <c r="C120" s="62"/>
      <c r="D120" s="62" t="s">
        <v>64</v>
      </c>
      <c r="E120" s="63">
        <v>70</v>
      </c>
      <c r="F120" s="65"/>
      <c r="G120" s="101" t="str">
        <f>HYPERLINK("https://pbs.twimg.com/profile_images/1649119295182614528/zQ0dgO8X_normal.jpg")</f>
        <v>https://pbs.twimg.com/profile_images/1649119295182614528/zQ0dgO8X_normal.jpg</v>
      </c>
      <c r="H120" s="62"/>
      <c r="I120" s="66" t="s">
        <v>386</v>
      </c>
      <c r="J120" s="67"/>
      <c r="K120" s="67" t="s">
        <v>75</v>
      </c>
      <c r="L120" s="66" t="s">
        <v>2202</v>
      </c>
      <c r="M120" s="70">
        <v>2000.6</v>
      </c>
      <c r="N120" s="71">
        <v>8321.72265625</v>
      </c>
      <c r="O120" s="71">
        <v>7223.31982421875</v>
      </c>
      <c r="P120" s="72"/>
      <c r="Q120" s="73"/>
      <c r="R120" s="73"/>
      <c r="S120" s="87"/>
      <c r="T120" s="45">
        <v>1</v>
      </c>
      <c r="U120" s="45">
        <v>0</v>
      </c>
      <c r="V120" s="46">
        <v>0</v>
      </c>
      <c r="W120" s="46">
        <v>0.004695</v>
      </c>
      <c r="X120" s="46">
        <v>0</v>
      </c>
      <c r="Y120" s="46">
        <v>0.004673</v>
      </c>
      <c r="Z120" s="46">
        <v>0</v>
      </c>
      <c r="AA120" s="46">
        <v>0</v>
      </c>
      <c r="AB120" s="68">
        <v>111</v>
      </c>
      <c r="AC120" s="68"/>
      <c r="AD120" s="69"/>
      <c r="AE120" s="76" t="s">
        <v>1435</v>
      </c>
      <c r="AF120" s="80" t="s">
        <v>1175</v>
      </c>
      <c r="AG120" s="76">
        <v>716975</v>
      </c>
      <c r="AH120" s="76">
        <v>36495</v>
      </c>
      <c r="AI120" s="76">
        <v>230116</v>
      </c>
      <c r="AJ120" s="76">
        <v>5621</v>
      </c>
      <c r="AK120" s="76">
        <v>192299</v>
      </c>
      <c r="AL120" s="76">
        <v>21107</v>
      </c>
      <c r="AM120" s="76" t="b">
        <v>0</v>
      </c>
      <c r="AN120" s="78">
        <v>39449.28864583333</v>
      </c>
      <c r="AO120" s="76" t="s">
        <v>1697</v>
      </c>
      <c r="AP120" s="76" t="s">
        <v>1853</v>
      </c>
      <c r="AQ120" s="82" t="str">
        <f>HYPERLINK("https://t.co/kylV4PcdhA")</f>
        <v>https://t.co/kylV4PcdhA</v>
      </c>
      <c r="AR120" s="82" t="str">
        <f>HYPERLINK("https://www.thereset.news/subscribe")</f>
        <v>https://www.thereset.news/subscribe</v>
      </c>
      <c r="AS120" s="76" t="s">
        <v>2005</v>
      </c>
      <c r="AT120" s="76"/>
      <c r="AU120" s="76"/>
      <c r="AV120" s="76"/>
      <c r="AW120" s="76">
        <v>1.15121315022372E+18</v>
      </c>
      <c r="AX120" s="82" t="str">
        <f>HYPERLINK("https://t.co/kylV4PcdhA")</f>
        <v>https://t.co/kylV4PcdhA</v>
      </c>
      <c r="AY120" s="76" t="b">
        <v>1</v>
      </c>
      <c r="AZ120" s="76"/>
      <c r="BA120" s="76"/>
      <c r="BB120" s="76" t="b">
        <v>1</v>
      </c>
      <c r="BC120" s="76" t="b">
        <v>1</v>
      </c>
      <c r="BD120" s="76" t="b">
        <v>0</v>
      </c>
      <c r="BE120" s="76" t="b">
        <v>0</v>
      </c>
      <c r="BF120" s="76" t="b">
        <v>1</v>
      </c>
      <c r="BG120" s="76" t="b">
        <v>0</v>
      </c>
      <c r="BH120" s="76" t="b">
        <v>0</v>
      </c>
      <c r="BI120" s="82" t="str">
        <f>HYPERLINK("https://pbs.twimg.com/profile_banners/11744152/1682015715")</f>
        <v>https://pbs.twimg.com/profile_banners/11744152/1682015715</v>
      </c>
      <c r="BJ120" s="76"/>
      <c r="BK120" s="76" t="s">
        <v>2093</v>
      </c>
      <c r="BL120" s="76" t="b">
        <v>0</v>
      </c>
      <c r="BM120" s="76"/>
      <c r="BN120" s="76" t="s">
        <v>65</v>
      </c>
      <c r="BO120" s="76" t="s">
        <v>2094</v>
      </c>
      <c r="BP120" s="82" t="str">
        <f>HYPERLINK("https://twitter.com/yashar")</f>
        <v>https://twitter.com/yashar</v>
      </c>
      <c r="BQ120" s="76" t="str">
        <f>REPLACE(INDEX(GroupVertices[Group],MATCH("~"&amp;Vertices[[#This Row],[Vertex]],GroupVertices[Vertex],0)),1,1,"")</f>
        <v>49</v>
      </c>
      <c r="BR120" s="45"/>
      <c r="BS120" s="46"/>
      <c r="BT120" s="45"/>
      <c r="BU120" s="46"/>
      <c r="BV120" s="45"/>
      <c r="BW120" s="46"/>
      <c r="BX120" s="45"/>
      <c r="BY120" s="46"/>
      <c r="BZ120" s="45"/>
      <c r="CA120" s="45"/>
      <c r="CB120" s="45"/>
      <c r="CC120" s="45"/>
      <c r="CD120" s="45"/>
      <c r="CE120" s="45"/>
      <c r="CF120" s="45"/>
      <c r="CG120" s="45"/>
      <c r="CH120" s="45"/>
      <c r="CI120" s="45"/>
      <c r="CJ120" s="45"/>
      <c r="CK120" s="2"/>
    </row>
    <row r="121" spans="1:89" ht="41.45" customHeight="1">
      <c r="A121" s="61" t="s">
        <v>278</v>
      </c>
      <c r="C121" s="62"/>
      <c r="D121" s="62" t="s">
        <v>64</v>
      </c>
      <c r="E121" s="63">
        <v>70</v>
      </c>
      <c r="F121" s="65"/>
      <c r="G121" s="101" t="str">
        <f>HYPERLINK("https://pbs.twimg.com/profile_images/1732624555796221952/H6U0Es58_normal.jpg")</f>
        <v>https://pbs.twimg.com/profile_images/1732624555796221952/H6U0Es58_normal.jpg</v>
      </c>
      <c r="H121" s="62"/>
      <c r="I121" s="66" t="s">
        <v>278</v>
      </c>
      <c r="J121" s="67"/>
      <c r="K121" s="67" t="s">
        <v>75</v>
      </c>
      <c r="L121" s="66" t="s">
        <v>2203</v>
      </c>
      <c r="M121" s="70">
        <v>1</v>
      </c>
      <c r="N121" s="71">
        <v>8987.244140625</v>
      </c>
      <c r="O121" s="71">
        <v>7881.01611328125</v>
      </c>
      <c r="P121" s="72"/>
      <c r="Q121" s="73"/>
      <c r="R121" s="73"/>
      <c r="S121" s="87"/>
      <c r="T121" s="45">
        <v>0</v>
      </c>
      <c r="U121" s="45">
        <v>1</v>
      </c>
      <c r="V121" s="46">
        <v>0</v>
      </c>
      <c r="W121" s="46">
        <v>0.004695</v>
      </c>
      <c r="X121" s="46">
        <v>0</v>
      </c>
      <c r="Y121" s="46">
        <v>0.004347</v>
      </c>
      <c r="Z121" s="46">
        <v>0</v>
      </c>
      <c r="AA121" s="46">
        <v>0</v>
      </c>
      <c r="AB121" s="68">
        <v>112</v>
      </c>
      <c r="AC121" s="68"/>
      <c r="AD121" s="69"/>
      <c r="AE121" s="76" t="s">
        <v>1436</v>
      </c>
      <c r="AF121" s="80" t="s">
        <v>1261</v>
      </c>
      <c r="AG121" s="76">
        <v>327</v>
      </c>
      <c r="AH121" s="76">
        <v>877</v>
      </c>
      <c r="AI121" s="76">
        <v>9375</v>
      </c>
      <c r="AJ121" s="76">
        <v>0</v>
      </c>
      <c r="AK121" s="76">
        <v>16707</v>
      </c>
      <c r="AL121" s="76">
        <v>1665</v>
      </c>
      <c r="AM121" s="76" t="b">
        <v>0</v>
      </c>
      <c r="AN121" s="78">
        <v>44828.08719907407</v>
      </c>
      <c r="AO121" s="76" t="s">
        <v>1698</v>
      </c>
      <c r="AP121" s="76" t="s">
        <v>1854</v>
      </c>
      <c r="AQ121" s="76"/>
      <c r="AR121" s="76"/>
      <c r="AS121" s="76"/>
      <c r="AT121" s="76"/>
      <c r="AU121" s="76"/>
      <c r="AV121" s="76"/>
      <c r="AW121" s="76">
        <v>1.57352829591188E+18</v>
      </c>
      <c r="AX121" s="76"/>
      <c r="AY121" s="76" t="b">
        <v>0</v>
      </c>
      <c r="AZ121" s="76"/>
      <c r="BA121" s="76"/>
      <c r="BB121" s="76" t="b">
        <v>0</v>
      </c>
      <c r="BC121" s="76" t="b">
        <v>0</v>
      </c>
      <c r="BD121" s="76" t="b">
        <v>1</v>
      </c>
      <c r="BE121" s="76" t="b">
        <v>0</v>
      </c>
      <c r="BF121" s="76" t="b">
        <v>1</v>
      </c>
      <c r="BG121" s="76" t="b">
        <v>0</v>
      </c>
      <c r="BH121" s="76" t="b">
        <v>0</v>
      </c>
      <c r="BI121" s="82" t="str">
        <f>HYPERLINK("https://pbs.twimg.com/profile_banners/1573493607763693568/1706165377")</f>
        <v>https://pbs.twimg.com/profile_banners/1573493607763693568/1706165377</v>
      </c>
      <c r="BJ121" s="76"/>
      <c r="BK121" s="76" t="s">
        <v>2092</v>
      </c>
      <c r="BL121" s="76" t="b">
        <v>0</v>
      </c>
      <c r="BM121" s="76"/>
      <c r="BN121" s="76" t="s">
        <v>66</v>
      </c>
      <c r="BO121" s="76" t="s">
        <v>2094</v>
      </c>
      <c r="BP121" s="82" t="str">
        <f>HYPERLINK("https://twitter.com/w7enk")</f>
        <v>https://twitter.com/w7enk</v>
      </c>
      <c r="BQ121" s="76" t="str">
        <f>REPLACE(INDEX(GroupVertices[Group],MATCH("~"&amp;Vertices[[#This Row],[Vertex]],GroupVertices[Vertex],0)),1,1,"")</f>
        <v>48</v>
      </c>
      <c r="BR121" s="45">
        <v>1</v>
      </c>
      <c r="BS121" s="46">
        <v>2.127659574468085</v>
      </c>
      <c r="BT121" s="45">
        <v>3</v>
      </c>
      <c r="BU121" s="46">
        <v>6.382978723404255</v>
      </c>
      <c r="BV121" s="45">
        <v>0</v>
      </c>
      <c r="BW121" s="46">
        <v>0</v>
      </c>
      <c r="BX121" s="45">
        <v>22</v>
      </c>
      <c r="BY121" s="46">
        <v>46.808510638297875</v>
      </c>
      <c r="BZ121" s="45">
        <v>47</v>
      </c>
      <c r="CA121" s="45"/>
      <c r="CB121" s="45"/>
      <c r="CC121" s="45"/>
      <c r="CD121" s="45"/>
      <c r="CE121" s="45" t="s">
        <v>589</v>
      </c>
      <c r="CF121" s="45" t="s">
        <v>11277</v>
      </c>
      <c r="CG121" s="114" t="s">
        <v>11341</v>
      </c>
      <c r="CH121" s="114" t="s">
        <v>11341</v>
      </c>
      <c r="CI121" s="114" t="s">
        <v>11470</v>
      </c>
      <c r="CJ121" s="114" t="s">
        <v>11470</v>
      </c>
      <c r="CK121" s="2"/>
    </row>
    <row r="122" spans="1:89" ht="41.45" customHeight="1">
      <c r="A122" s="61" t="s">
        <v>294</v>
      </c>
      <c r="C122" s="62"/>
      <c r="D122" s="62" t="s">
        <v>64</v>
      </c>
      <c r="E122" s="63">
        <v>70</v>
      </c>
      <c r="F122" s="65"/>
      <c r="G122" s="101" t="str">
        <f>HYPERLINK("https://pbs.twimg.com/profile_images/1328078948756975617/sy1xA3TO_normal.jpg")</f>
        <v>https://pbs.twimg.com/profile_images/1328078948756975617/sy1xA3TO_normal.jpg</v>
      </c>
      <c r="H122" s="62"/>
      <c r="I122" s="66" t="s">
        <v>294</v>
      </c>
      <c r="J122" s="67"/>
      <c r="K122" s="67" t="s">
        <v>75</v>
      </c>
      <c r="L122" s="66" t="s">
        <v>2204</v>
      </c>
      <c r="M122" s="70">
        <v>4000.2</v>
      </c>
      <c r="N122" s="71">
        <v>8987.244140625</v>
      </c>
      <c r="O122" s="71">
        <v>7223.31982421875</v>
      </c>
      <c r="P122" s="72"/>
      <c r="Q122" s="73"/>
      <c r="R122" s="73"/>
      <c r="S122" s="87"/>
      <c r="T122" s="45">
        <v>2</v>
      </c>
      <c r="U122" s="45">
        <v>1</v>
      </c>
      <c r="V122" s="46">
        <v>0</v>
      </c>
      <c r="W122" s="46">
        <v>0.004695</v>
      </c>
      <c r="X122" s="46">
        <v>0</v>
      </c>
      <c r="Y122" s="46">
        <v>0.004999</v>
      </c>
      <c r="Z122" s="46">
        <v>0</v>
      </c>
      <c r="AA122" s="46">
        <v>0</v>
      </c>
      <c r="AB122" s="68">
        <v>113</v>
      </c>
      <c r="AC122" s="68"/>
      <c r="AD122" s="69"/>
      <c r="AE122" s="76" t="s">
        <v>1437</v>
      </c>
      <c r="AF122" s="80" t="s">
        <v>1594</v>
      </c>
      <c r="AG122" s="76">
        <v>8534</v>
      </c>
      <c r="AH122" s="76">
        <v>986</v>
      </c>
      <c r="AI122" s="76">
        <v>13962</v>
      </c>
      <c r="AJ122" s="76">
        <v>207</v>
      </c>
      <c r="AK122" s="76">
        <v>29597</v>
      </c>
      <c r="AL122" s="76">
        <v>5545</v>
      </c>
      <c r="AM122" s="76" t="b">
        <v>0</v>
      </c>
      <c r="AN122" s="78">
        <v>39977.16722222222</v>
      </c>
      <c r="AO122" s="76" t="s">
        <v>852</v>
      </c>
      <c r="AP122" s="76" t="s">
        <v>1855</v>
      </c>
      <c r="AQ122" s="82" t="str">
        <f>HYPERLINK("https://t.co/2iCIbxfKF7")</f>
        <v>https://t.co/2iCIbxfKF7</v>
      </c>
      <c r="AR122" s="82" t="str">
        <f>HYPERLINK("https://www.kptv.com/podcasts/weather/")</f>
        <v>https://www.kptv.com/podcasts/weather/</v>
      </c>
      <c r="AS122" s="76" t="s">
        <v>2006</v>
      </c>
      <c r="AT122" s="76"/>
      <c r="AU122" s="76"/>
      <c r="AV122" s="76"/>
      <c r="AW122" s="76"/>
      <c r="AX122" s="82" t="str">
        <f>HYPERLINK("https://t.co/2iCIbxfKF7")</f>
        <v>https://t.co/2iCIbxfKF7</v>
      </c>
      <c r="AY122" s="76" t="b">
        <v>0</v>
      </c>
      <c r="AZ122" s="76"/>
      <c r="BA122" s="76"/>
      <c r="BB122" s="76" t="b">
        <v>0</v>
      </c>
      <c r="BC122" s="76" t="b">
        <v>1</v>
      </c>
      <c r="BD122" s="76" t="b">
        <v>0</v>
      </c>
      <c r="BE122" s="76" t="b">
        <v>0</v>
      </c>
      <c r="BF122" s="76" t="b">
        <v>1</v>
      </c>
      <c r="BG122" s="76" t="b">
        <v>0</v>
      </c>
      <c r="BH122" s="76" t="b">
        <v>0</v>
      </c>
      <c r="BI122" s="82" t="str">
        <f>HYPERLINK("https://pbs.twimg.com/profile_banners/46821352/1696604827")</f>
        <v>https://pbs.twimg.com/profile_banners/46821352/1696604827</v>
      </c>
      <c r="BJ122" s="76"/>
      <c r="BK122" s="76" t="s">
        <v>2092</v>
      </c>
      <c r="BL122" s="76" t="b">
        <v>0</v>
      </c>
      <c r="BM122" s="76"/>
      <c r="BN122" s="76" t="s">
        <v>66</v>
      </c>
      <c r="BO122" s="76" t="s">
        <v>2094</v>
      </c>
      <c r="BP122" s="82" t="str">
        <f>HYPERLINK("https://twitter.com/weatherjefe")</f>
        <v>https://twitter.com/weatherjefe</v>
      </c>
      <c r="BQ122" s="76" t="str">
        <f>REPLACE(INDEX(GroupVertices[Group],MATCH("~"&amp;Vertices[[#This Row],[Vertex]],GroupVertices[Vertex],0)),1,1,"")</f>
        <v>48</v>
      </c>
      <c r="BR122" s="45">
        <v>0</v>
      </c>
      <c r="BS122" s="46">
        <v>0</v>
      </c>
      <c r="BT122" s="45">
        <v>1</v>
      </c>
      <c r="BU122" s="46">
        <v>2</v>
      </c>
      <c r="BV122" s="45">
        <v>0</v>
      </c>
      <c r="BW122" s="46">
        <v>0</v>
      </c>
      <c r="BX122" s="45">
        <v>26</v>
      </c>
      <c r="BY122" s="46">
        <v>52</v>
      </c>
      <c r="BZ122" s="45">
        <v>50</v>
      </c>
      <c r="CA122" s="45"/>
      <c r="CB122" s="45"/>
      <c r="CC122" s="45"/>
      <c r="CD122" s="45"/>
      <c r="CE122" s="45"/>
      <c r="CF122" s="45"/>
      <c r="CG122" s="114" t="s">
        <v>11342</v>
      </c>
      <c r="CH122" s="114" t="s">
        <v>11342</v>
      </c>
      <c r="CI122" s="114" t="s">
        <v>11471</v>
      </c>
      <c r="CJ122" s="114" t="s">
        <v>11471</v>
      </c>
      <c r="CK122" s="2"/>
    </row>
    <row r="123" spans="1:89" ht="41.45" customHeight="1">
      <c r="A123" s="61" t="s">
        <v>279</v>
      </c>
      <c r="C123" s="62"/>
      <c r="D123" s="62" t="s">
        <v>64</v>
      </c>
      <c r="E123" s="63">
        <v>70</v>
      </c>
      <c r="F123" s="65"/>
      <c r="G123" s="101" t="str">
        <f>HYPERLINK("https://abs.twimg.com/sticky/default_profile_images/default_profile_normal.png")</f>
        <v>https://abs.twimg.com/sticky/default_profile_images/default_profile_normal.png</v>
      </c>
      <c r="H123" s="62"/>
      <c r="I123" s="66" t="s">
        <v>279</v>
      </c>
      <c r="J123" s="67"/>
      <c r="K123" s="67" t="s">
        <v>75</v>
      </c>
      <c r="L123" s="66" t="s">
        <v>2205</v>
      </c>
      <c r="M123" s="70">
        <v>1</v>
      </c>
      <c r="N123" s="71">
        <v>7657.54736328125</v>
      </c>
      <c r="O123" s="71">
        <v>7881.01611328125</v>
      </c>
      <c r="P123" s="72"/>
      <c r="Q123" s="73"/>
      <c r="R123" s="73"/>
      <c r="S123" s="87"/>
      <c r="T123" s="45">
        <v>0</v>
      </c>
      <c r="U123" s="45">
        <v>1</v>
      </c>
      <c r="V123" s="46">
        <v>0</v>
      </c>
      <c r="W123" s="46">
        <v>0.004695</v>
      </c>
      <c r="X123" s="46">
        <v>0</v>
      </c>
      <c r="Y123" s="46">
        <v>0.004673</v>
      </c>
      <c r="Z123" s="46">
        <v>0</v>
      </c>
      <c r="AA123" s="46">
        <v>0</v>
      </c>
      <c r="AB123" s="68">
        <v>114</v>
      </c>
      <c r="AC123" s="68"/>
      <c r="AD123" s="69"/>
      <c r="AE123" s="76" t="s">
        <v>1438</v>
      </c>
      <c r="AF123" s="80" t="s">
        <v>1262</v>
      </c>
      <c r="AG123" s="76">
        <v>44</v>
      </c>
      <c r="AH123" s="76">
        <v>166</v>
      </c>
      <c r="AI123" s="76">
        <v>1556</v>
      </c>
      <c r="AJ123" s="76">
        <v>0</v>
      </c>
      <c r="AK123" s="76">
        <v>1820</v>
      </c>
      <c r="AL123" s="76">
        <v>82</v>
      </c>
      <c r="AM123" s="76" t="b">
        <v>0</v>
      </c>
      <c r="AN123" s="78">
        <v>42516.93483796297</v>
      </c>
      <c r="AO123" s="76"/>
      <c r="AP123" s="76"/>
      <c r="AQ123" s="76"/>
      <c r="AR123" s="76"/>
      <c r="AS123" s="76"/>
      <c r="AT123" s="76"/>
      <c r="AU123" s="76"/>
      <c r="AV123" s="76"/>
      <c r="AW123" s="76"/>
      <c r="AX123" s="76"/>
      <c r="AY123" s="76" t="b">
        <v>0</v>
      </c>
      <c r="AZ123" s="76"/>
      <c r="BA123" s="76"/>
      <c r="BB123" s="76" t="b">
        <v>0</v>
      </c>
      <c r="BC123" s="76" t="b">
        <v>1</v>
      </c>
      <c r="BD123" s="76" t="b">
        <v>1</v>
      </c>
      <c r="BE123" s="76" t="b">
        <v>1</v>
      </c>
      <c r="BF123" s="76" t="b">
        <v>1</v>
      </c>
      <c r="BG123" s="76" t="b">
        <v>0</v>
      </c>
      <c r="BH123" s="76" t="b">
        <v>0</v>
      </c>
      <c r="BI123" s="76"/>
      <c r="BJ123" s="76"/>
      <c r="BK123" s="76" t="s">
        <v>2092</v>
      </c>
      <c r="BL123" s="76" t="b">
        <v>0</v>
      </c>
      <c r="BM123" s="76"/>
      <c r="BN123" s="76" t="s">
        <v>66</v>
      </c>
      <c r="BO123" s="76" t="s">
        <v>2094</v>
      </c>
      <c r="BP123" s="82" t="str">
        <f>HYPERLINK("https://twitter.com/xsandman00")</f>
        <v>https://twitter.com/xsandman00</v>
      </c>
      <c r="BQ123" s="76" t="str">
        <f>REPLACE(INDEX(GroupVertices[Group],MATCH("~"&amp;Vertices[[#This Row],[Vertex]],GroupVertices[Vertex],0)),1,1,"")</f>
        <v>47</v>
      </c>
      <c r="BR123" s="45">
        <v>0</v>
      </c>
      <c r="BS123" s="46">
        <v>0</v>
      </c>
      <c r="BT123" s="45">
        <v>4</v>
      </c>
      <c r="BU123" s="46">
        <v>9.30232558139535</v>
      </c>
      <c r="BV123" s="45">
        <v>0</v>
      </c>
      <c r="BW123" s="46">
        <v>0</v>
      </c>
      <c r="BX123" s="45">
        <v>21</v>
      </c>
      <c r="BY123" s="46">
        <v>48.83720930232558</v>
      </c>
      <c r="BZ123" s="45">
        <v>43</v>
      </c>
      <c r="CA123" s="45"/>
      <c r="CB123" s="45"/>
      <c r="CC123" s="45"/>
      <c r="CD123" s="45"/>
      <c r="CE123" s="45"/>
      <c r="CF123" s="45"/>
      <c r="CG123" s="114" t="s">
        <v>11343</v>
      </c>
      <c r="CH123" s="114" t="s">
        <v>11343</v>
      </c>
      <c r="CI123" s="114" t="s">
        <v>11472</v>
      </c>
      <c r="CJ123" s="114" t="s">
        <v>11472</v>
      </c>
      <c r="CK123" s="2"/>
    </row>
    <row r="124" spans="1:89" ht="41.45" customHeight="1">
      <c r="A124" s="61" t="s">
        <v>387</v>
      </c>
      <c r="C124" s="62"/>
      <c r="D124" s="62" t="s">
        <v>64</v>
      </c>
      <c r="E124" s="63">
        <v>70</v>
      </c>
      <c r="F124" s="65"/>
      <c r="G124" s="101" t="str">
        <f>HYPERLINK("https://pbs.twimg.com/profile_images/1746258385278746624/g50aBZxD_normal.jpg")</f>
        <v>https://pbs.twimg.com/profile_images/1746258385278746624/g50aBZxD_normal.jpg</v>
      </c>
      <c r="H124" s="62"/>
      <c r="I124" s="66" t="s">
        <v>387</v>
      </c>
      <c r="J124" s="67"/>
      <c r="K124" s="67" t="s">
        <v>75</v>
      </c>
      <c r="L124" s="66" t="s">
        <v>2206</v>
      </c>
      <c r="M124" s="70">
        <v>2000.6</v>
      </c>
      <c r="N124" s="71">
        <v>7657.54736328125</v>
      </c>
      <c r="O124" s="71">
        <v>7223.31982421875</v>
      </c>
      <c r="P124" s="72"/>
      <c r="Q124" s="73"/>
      <c r="R124" s="73"/>
      <c r="S124" s="87"/>
      <c r="T124" s="45">
        <v>1</v>
      </c>
      <c r="U124" s="45">
        <v>0</v>
      </c>
      <c r="V124" s="46">
        <v>0</v>
      </c>
      <c r="W124" s="46">
        <v>0.004695</v>
      </c>
      <c r="X124" s="46">
        <v>0</v>
      </c>
      <c r="Y124" s="46">
        <v>0.004673</v>
      </c>
      <c r="Z124" s="46">
        <v>0</v>
      </c>
      <c r="AA124" s="46">
        <v>0</v>
      </c>
      <c r="AB124" s="68">
        <v>115</v>
      </c>
      <c r="AC124" s="68"/>
      <c r="AD124" s="69"/>
      <c r="AE124" s="76" t="s">
        <v>1439</v>
      </c>
      <c r="AF124" s="80" t="s">
        <v>1176</v>
      </c>
      <c r="AG124" s="76">
        <v>1488334</v>
      </c>
      <c r="AH124" s="76">
        <v>4154</v>
      </c>
      <c r="AI124" s="76">
        <v>160571</v>
      </c>
      <c r="AJ124" s="76">
        <v>9517</v>
      </c>
      <c r="AK124" s="76">
        <v>3746</v>
      </c>
      <c r="AL124" s="76">
        <v>5026</v>
      </c>
      <c r="AM124" s="76" t="b">
        <v>0</v>
      </c>
      <c r="AN124" s="78">
        <v>40275.70663194444</v>
      </c>
      <c r="AO124" s="76" t="s">
        <v>1699</v>
      </c>
      <c r="AP124" s="76" t="s">
        <v>1856</v>
      </c>
      <c r="AQ124" s="82" t="str">
        <f>HYPERLINK("https://t.co/3c6eCRv9Zi")</f>
        <v>https://t.co/3c6eCRv9Zi</v>
      </c>
      <c r="AR124" s="82" t="str">
        <f>HYPERLINK("http://www.facebook.com/mrmehdihasan")</f>
        <v>http://www.facebook.com/mrmehdihasan</v>
      </c>
      <c r="AS124" s="76" t="s">
        <v>2007</v>
      </c>
      <c r="AT124" s="82" t="str">
        <f>HYPERLINK("https://t.co/qGY4mV7rN8")</f>
        <v>https://t.co/qGY4mV7rN8</v>
      </c>
      <c r="AU124" s="82" t="str">
        <f>HYPERLINK("http://amzn.to/3ITUR9Y")</f>
        <v>http://amzn.to/3ITUR9Y</v>
      </c>
      <c r="AV124" s="76" t="s">
        <v>2077</v>
      </c>
      <c r="AW124" s="76">
        <v>1.06270640180445E+18</v>
      </c>
      <c r="AX124" s="82" t="str">
        <f>HYPERLINK("https://t.co/3c6eCRv9Zi")</f>
        <v>https://t.co/3c6eCRv9Zi</v>
      </c>
      <c r="AY124" s="76" t="b">
        <v>1</v>
      </c>
      <c r="AZ124" s="76"/>
      <c r="BA124" s="76"/>
      <c r="BB124" s="76" t="b">
        <v>0</v>
      </c>
      <c r="BC124" s="76" t="b">
        <v>1</v>
      </c>
      <c r="BD124" s="76" t="b">
        <v>1</v>
      </c>
      <c r="BE124" s="76" t="b">
        <v>0</v>
      </c>
      <c r="BF124" s="76" t="b">
        <v>1</v>
      </c>
      <c r="BG124" s="76" t="b">
        <v>0</v>
      </c>
      <c r="BH124" s="76" t="b">
        <v>0</v>
      </c>
      <c r="BI124" s="82" t="str">
        <f>HYPERLINK("https://pbs.twimg.com/profile_banners/130557513/1678845252")</f>
        <v>https://pbs.twimg.com/profile_banners/130557513/1678845252</v>
      </c>
      <c r="BJ124" s="76"/>
      <c r="BK124" s="76" t="s">
        <v>2092</v>
      </c>
      <c r="BL124" s="76" t="b">
        <v>0</v>
      </c>
      <c r="BM124" s="76"/>
      <c r="BN124" s="76" t="s">
        <v>65</v>
      </c>
      <c r="BO124" s="76" t="s">
        <v>2094</v>
      </c>
      <c r="BP124" s="82" t="str">
        <f>HYPERLINK("https://twitter.com/mehdirhasan")</f>
        <v>https://twitter.com/mehdirhasan</v>
      </c>
      <c r="BQ124" s="76" t="str">
        <f>REPLACE(INDEX(GroupVertices[Group],MATCH("~"&amp;Vertices[[#This Row],[Vertex]],GroupVertices[Vertex],0)),1,1,"")</f>
        <v>47</v>
      </c>
      <c r="BR124" s="45"/>
      <c r="BS124" s="46"/>
      <c r="BT124" s="45"/>
      <c r="BU124" s="46"/>
      <c r="BV124" s="45"/>
      <c r="BW124" s="46"/>
      <c r="BX124" s="45"/>
      <c r="BY124" s="46"/>
      <c r="BZ124" s="45"/>
      <c r="CA124" s="45"/>
      <c r="CB124" s="45"/>
      <c r="CC124" s="45"/>
      <c r="CD124" s="45"/>
      <c r="CE124" s="45"/>
      <c r="CF124" s="45"/>
      <c r="CG124" s="45"/>
      <c r="CH124" s="45"/>
      <c r="CI124" s="45"/>
      <c r="CJ124" s="45"/>
      <c r="CK124" s="2"/>
    </row>
    <row r="125" spans="1:89" ht="41.45" customHeight="1">
      <c r="A125" s="61" t="s">
        <v>281</v>
      </c>
      <c r="C125" s="62"/>
      <c r="D125" s="62" t="s">
        <v>64</v>
      </c>
      <c r="E125" s="63">
        <v>70</v>
      </c>
      <c r="F125" s="65"/>
      <c r="G125" s="101" t="str">
        <f>HYPERLINK("https://pbs.twimg.com/profile_images/1534476395639762944/oAWLsEnn_normal.jpg")</f>
        <v>https://pbs.twimg.com/profile_images/1534476395639762944/oAWLsEnn_normal.jpg</v>
      </c>
      <c r="H125" s="62"/>
      <c r="I125" s="66" t="s">
        <v>281</v>
      </c>
      <c r="J125" s="67"/>
      <c r="K125" s="67" t="s">
        <v>75</v>
      </c>
      <c r="L125" s="66" t="s">
        <v>2207</v>
      </c>
      <c r="M125" s="70">
        <v>2000.6</v>
      </c>
      <c r="N125" s="71">
        <v>2020.277587890625</v>
      </c>
      <c r="O125" s="71">
        <v>8587.8505859375</v>
      </c>
      <c r="P125" s="72"/>
      <c r="Q125" s="73"/>
      <c r="R125" s="73"/>
      <c r="S125" s="87"/>
      <c r="T125" s="45">
        <v>1</v>
      </c>
      <c r="U125" s="45">
        <v>1</v>
      </c>
      <c r="V125" s="46">
        <v>0</v>
      </c>
      <c r="W125" s="46">
        <v>0</v>
      </c>
      <c r="X125" s="46">
        <v>0</v>
      </c>
      <c r="Y125" s="46">
        <v>0.004673</v>
      </c>
      <c r="Z125" s="46">
        <v>0</v>
      </c>
      <c r="AA125" s="46">
        <v>0</v>
      </c>
      <c r="AB125" s="68">
        <v>116</v>
      </c>
      <c r="AC125" s="68"/>
      <c r="AD125" s="69"/>
      <c r="AE125" s="76" t="s">
        <v>1440</v>
      </c>
      <c r="AF125" s="80" t="s">
        <v>1264</v>
      </c>
      <c r="AG125" s="76">
        <v>2979</v>
      </c>
      <c r="AH125" s="76">
        <v>3034</v>
      </c>
      <c r="AI125" s="76">
        <v>70881</v>
      </c>
      <c r="AJ125" s="76">
        <v>1</v>
      </c>
      <c r="AK125" s="76">
        <v>38741</v>
      </c>
      <c r="AL125" s="76">
        <v>1356</v>
      </c>
      <c r="AM125" s="76" t="b">
        <v>0</v>
      </c>
      <c r="AN125" s="78">
        <v>43955.006840277776</v>
      </c>
      <c r="AO125" s="76" t="s">
        <v>896</v>
      </c>
      <c r="AP125" s="76" t="s">
        <v>1857</v>
      </c>
      <c r="AQ125" s="76"/>
      <c r="AR125" s="76"/>
      <c r="AS125" s="76"/>
      <c r="AT125" s="76"/>
      <c r="AU125" s="76"/>
      <c r="AV125" s="76"/>
      <c r="AW125" s="76"/>
      <c r="AX125" s="76"/>
      <c r="AY125" s="76" t="b">
        <v>0</v>
      </c>
      <c r="AZ125" s="76"/>
      <c r="BA125" s="76"/>
      <c r="BB125" s="76" t="b">
        <v>1</v>
      </c>
      <c r="BC125" s="76" t="b">
        <v>1</v>
      </c>
      <c r="BD125" s="76" t="b">
        <v>1</v>
      </c>
      <c r="BE125" s="76" t="b">
        <v>0</v>
      </c>
      <c r="BF125" s="76" t="b">
        <v>1</v>
      </c>
      <c r="BG125" s="76" t="b">
        <v>0</v>
      </c>
      <c r="BH125" s="76" t="b">
        <v>0</v>
      </c>
      <c r="BI125" s="76"/>
      <c r="BJ125" s="76"/>
      <c r="BK125" s="76" t="s">
        <v>2092</v>
      </c>
      <c r="BL125" s="76" t="b">
        <v>0</v>
      </c>
      <c r="BM125" s="76"/>
      <c r="BN125" s="76" t="s">
        <v>66</v>
      </c>
      <c r="BO125" s="76" t="s">
        <v>2094</v>
      </c>
      <c r="BP125" s="82" t="str">
        <f>HYPERLINK("https://twitter.com/herlihy_f")</f>
        <v>https://twitter.com/herlihy_f</v>
      </c>
      <c r="BQ125" s="76" t="str">
        <f>REPLACE(INDEX(GroupVertices[Group],MATCH("~"&amp;Vertices[[#This Row],[Vertex]],GroupVertices[Vertex],0)),1,1,"")</f>
        <v>1</v>
      </c>
      <c r="BR125" s="45">
        <v>0</v>
      </c>
      <c r="BS125" s="46">
        <v>0</v>
      </c>
      <c r="BT125" s="45">
        <v>6</v>
      </c>
      <c r="BU125" s="46">
        <v>10.909090909090908</v>
      </c>
      <c r="BV125" s="45">
        <v>0</v>
      </c>
      <c r="BW125" s="46">
        <v>0</v>
      </c>
      <c r="BX125" s="45">
        <v>41</v>
      </c>
      <c r="BY125" s="46">
        <v>74.54545454545455</v>
      </c>
      <c r="BZ125" s="45">
        <v>55</v>
      </c>
      <c r="CA125" s="45" t="s">
        <v>11261</v>
      </c>
      <c r="CB125" s="45" t="s">
        <v>11265</v>
      </c>
      <c r="CC125" s="45" t="s">
        <v>11269</v>
      </c>
      <c r="CD125" s="45" t="s">
        <v>11271</v>
      </c>
      <c r="CE125" s="45"/>
      <c r="CF125" s="45"/>
      <c r="CG125" s="114" t="s">
        <v>11344</v>
      </c>
      <c r="CH125" s="114" t="s">
        <v>11402</v>
      </c>
      <c r="CI125" s="114" t="s">
        <v>11473</v>
      </c>
      <c r="CJ125" s="114" t="s">
        <v>11530</v>
      </c>
      <c r="CK125" s="2"/>
    </row>
    <row r="126" spans="1:89" ht="41.45" customHeight="1">
      <c r="A126" s="61" t="s">
        <v>282</v>
      </c>
      <c r="C126" s="62"/>
      <c r="D126" s="62" t="s">
        <v>64</v>
      </c>
      <c r="E126" s="63">
        <v>70</v>
      </c>
      <c r="F126" s="65"/>
      <c r="G126" s="101" t="str">
        <f>HYPERLINK("https://pbs.twimg.com/profile_images/700915659/bebeskwid_normal.jpg")</f>
        <v>https://pbs.twimg.com/profile_images/700915659/bebeskwid_normal.jpg</v>
      </c>
      <c r="H126" s="62"/>
      <c r="I126" s="66" t="s">
        <v>282</v>
      </c>
      <c r="J126" s="67"/>
      <c r="K126" s="67" t="s">
        <v>75</v>
      </c>
      <c r="L126" s="66" t="s">
        <v>2208</v>
      </c>
      <c r="M126" s="70">
        <v>1</v>
      </c>
      <c r="N126" s="71">
        <v>6327.85009765625</v>
      </c>
      <c r="O126" s="71">
        <v>7881.01611328125</v>
      </c>
      <c r="P126" s="72"/>
      <c r="Q126" s="73"/>
      <c r="R126" s="73"/>
      <c r="S126" s="87"/>
      <c r="T126" s="45">
        <v>0</v>
      </c>
      <c r="U126" s="45">
        <v>1</v>
      </c>
      <c r="V126" s="46">
        <v>0</v>
      </c>
      <c r="W126" s="46">
        <v>0.004695</v>
      </c>
      <c r="X126" s="46">
        <v>0</v>
      </c>
      <c r="Y126" s="46">
        <v>0.004673</v>
      </c>
      <c r="Z126" s="46">
        <v>0</v>
      </c>
      <c r="AA126" s="46">
        <v>0</v>
      </c>
      <c r="AB126" s="68">
        <v>117</v>
      </c>
      <c r="AC126" s="68"/>
      <c r="AD126" s="69"/>
      <c r="AE126" s="76" t="s">
        <v>1441</v>
      </c>
      <c r="AF126" s="80" t="s">
        <v>1595</v>
      </c>
      <c r="AG126" s="76">
        <v>1731</v>
      </c>
      <c r="AH126" s="76">
        <v>1980</v>
      </c>
      <c r="AI126" s="76">
        <v>43925</v>
      </c>
      <c r="AJ126" s="76">
        <v>6</v>
      </c>
      <c r="AK126" s="76">
        <v>679060</v>
      </c>
      <c r="AL126" s="76">
        <v>1883</v>
      </c>
      <c r="AM126" s="76" t="b">
        <v>0</v>
      </c>
      <c r="AN126" s="78">
        <v>40221.794270833336</v>
      </c>
      <c r="AO126" s="76" t="s">
        <v>852</v>
      </c>
      <c r="AP126" s="76" t="s">
        <v>1858</v>
      </c>
      <c r="AQ126" s="76"/>
      <c r="AR126" s="76"/>
      <c r="AS126" s="76"/>
      <c r="AT126" s="82" t="str">
        <f>HYPERLINK("https://t.co/aJmLB5WPkX")</f>
        <v>https://t.co/aJmLB5WPkX</v>
      </c>
      <c r="AU126" s="82" t="str">
        <f>HYPERLINK("http://PardonMyPain.bsky.social")</f>
        <v>http://PardonMyPain.bsky.social</v>
      </c>
      <c r="AV126" s="76" t="s">
        <v>2078</v>
      </c>
      <c r="AW126" s="76">
        <v>1.66766050163833E+18</v>
      </c>
      <c r="AX126" s="76"/>
      <c r="AY126" s="76" t="b">
        <v>0</v>
      </c>
      <c r="AZ126" s="76"/>
      <c r="BA126" s="76"/>
      <c r="BB126" s="76" t="b">
        <v>0</v>
      </c>
      <c r="BC126" s="76" t="b">
        <v>1</v>
      </c>
      <c r="BD126" s="76" t="b">
        <v>0</v>
      </c>
      <c r="BE126" s="76" t="b">
        <v>0</v>
      </c>
      <c r="BF126" s="76" t="b">
        <v>1</v>
      </c>
      <c r="BG126" s="76" t="b">
        <v>0</v>
      </c>
      <c r="BH126" s="76" t="b">
        <v>0</v>
      </c>
      <c r="BI126" s="82" t="str">
        <f>HYPERLINK("https://pbs.twimg.com/profile_banners/113704528/1662367033")</f>
        <v>https://pbs.twimg.com/profile_banners/113704528/1662367033</v>
      </c>
      <c r="BJ126" s="76"/>
      <c r="BK126" s="76" t="s">
        <v>2092</v>
      </c>
      <c r="BL126" s="76" t="b">
        <v>0</v>
      </c>
      <c r="BM126" s="76"/>
      <c r="BN126" s="76" t="s">
        <v>66</v>
      </c>
      <c r="BO126" s="76" t="s">
        <v>2094</v>
      </c>
      <c r="BP126" s="82" t="str">
        <f>HYPERLINK("https://twitter.com/pardonmypain")</f>
        <v>https://twitter.com/pardonmypain</v>
      </c>
      <c r="BQ126" s="76" t="str">
        <f>REPLACE(INDEX(GroupVertices[Group],MATCH("~"&amp;Vertices[[#This Row],[Vertex]],GroupVertices[Vertex],0)),1,1,"")</f>
        <v>46</v>
      </c>
      <c r="BR126" s="45">
        <v>0</v>
      </c>
      <c r="BS126" s="46">
        <v>0</v>
      </c>
      <c r="BT126" s="45">
        <v>1</v>
      </c>
      <c r="BU126" s="46">
        <v>2.5</v>
      </c>
      <c r="BV126" s="45">
        <v>0</v>
      </c>
      <c r="BW126" s="46">
        <v>0</v>
      </c>
      <c r="BX126" s="45">
        <v>19</v>
      </c>
      <c r="BY126" s="46">
        <v>47.5</v>
      </c>
      <c r="BZ126" s="45">
        <v>40</v>
      </c>
      <c r="CA126" s="45"/>
      <c r="CB126" s="45"/>
      <c r="CC126" s="45"/>
      <c r="CD126" s="45"/>
      <c r="CE126" s="45"/>
      <c r="CF126" s="45"/>
      <c r="CG126" s="114" t="s">
        <v>11345</v>
      </c>
      <c r="CH126" s="114" t="s">
        <v>11345</v>
      </c>
      <c r="CI126" s="114" t="s">
        <v>11474</v>
      </c>
      <c r="CJ126" s="114" t="s">
        <v>11474</v>
      </c>
      <c r="CK126" s="2"/>
    </row>
    <row r="127" spans="1:89" ht="41.45" customHeight="1">
      <c r="A127" s="61" t="s">
        <v>388</v>
      </c>
      <c r="C127" s="62"/>
      <c r="D127" s="62" t="s">
        <v>64</v>
      </c>
      <c r="E127" s="63">
        <v>70</v>
      </c>
      <c r="F127" s="65"/>
      <c r="G127" s="101" t="str">
        <f>HYPERLINK("https://pbs.twimg.com/profile_images/1698036347208929280/a6CxvJNS_normal.jpg")</f>
        <v>https://pbs.twimg.com/profile_images/1698036347208929280/a6CxvJNS_normal.jpg</v>
      </c>
      <c r="H127" s="62"/>
      <c r="I127" s="66" t="s">
        <v>388</v>
      </c>
      <c r="J127" s="67"/>
      <c r="K127" s="67" t="s">
        <v>75</v>
      </c>
      <c r="L127" s="66" t="s">
        <v>2209</v>
      </c>
      <c r="M127" s="70">
        <v>2000.6</v>
      </c>
      <c r="N127" s="71">
        <v>6327.85009765625</v>
      </c>
      <c r="O127" s="71">
        <v>7223.31982421875</v>
      </c>
      <c r="P127" s="72"/>
      <c r="Q127" s="73"/>
      <c r="R127" s="73"/>
      <c r="S127" s="87"/>
      <c r="T127" s="45">
        <v>1</v>
      </c>
      <c r="U127" s="45">
        <v>0</v>
      </c>
      <c r="V127" s="46">
        <v>0</v>
      </c>
      <c r="W127" s="46">
        <v>0.004695</v>
      </c>
      <c r="X127" s="46">
        <v>0</v>
      </c>
      <c r="Y127" s="46">
        <v>0.004673</v>
      </c>
      <c r="Z127" s="46">
        <v>0</v>
      </c>
      <c r="AA127" s="46">
        <v>0</v>
      </c>
      <c r="AB127" s="68">
        <v>118</v>
      </c>
      <c r="AC127" s="68"/>
      <c r="AD127" s="69"/>
      <c r="AE127" s="76" t="s">
        <v>1442</v>
      </c>
      <c r="AF127" s="80" t="s">
        <v>1177</v>
      </c>
      <c r="AG127" s="76">
        <v>14084</v>
      </c>
      <c r="AH127" s="76">
        <v>3926</v>
      </c>
      <c r="AI127" s="76">
        <v>63294</v>
      </c>
      <c r="AJ127" s="76">
        <v>158</v>
      </c>
      <c r="AK127" s="76">
        <v>261126</v>
      </c>
      <c r="AL127" s="76">
        <v>3085</v>
      </c>
      <c r="AM127" s="76" t="b">
        <v>0</v>
      </c>
      <c r="AN127" s="78">
        <v>41810.55097222222</v>
      </c>
      <c r="AO127" s="76" t="s">
        <v>1700</v>
      </c>
      <c r="AP127" s="76" t="s">
        <v>1859</v>
      </c>
      <c r="AQ127" s="76"/>
      <c r="AR127" s="76"/>
      <c r="AS127" s="76"/>
      <c r="AT127" s="82" t="str">
        <f>HYPERLINK("https://t.co/YeMrEWwEg5")</f>
        <v>https://t.co/YeMrEWwEg5</v>
      </c>
      <c r="AU127" s="82" t="str">
        <f>HYPERLINK("http://naomidharvey.bsky.social")</f>
        <v>http://naomidharvey.bsky.social</v>
      </c>
      <c r="AV127" s="76" t="s">
        <v>2079</v>
      </c>
      <c r="AW127" s="76">
        <v>1.65114405078577E+18</v>
      </c>
      <c r="AX127" s="76"/>
      <c r="AY127" s="76" t="b">
        <v>0</v>
      </c>
      <c r="AZ127" s="76"/>
      <c r="BA127" s="76"/>
      <c r="BB127" s="76" t="b">
        <v>1</v>
      </c>
      <c r="BC127" s="76" t="b">
        <v>0</v>
      </c>
      <c r="BD127" s="76" t="b">
        <v>1</v>
      </c>
      <c r="BE127" s="76" t="b">
        <v>0</v>
      </c>
      <c r="BF127" s="76" t="b">
        <v>0</v>
      </c>
      <c r="BG127" s="76" t="b">
        <v>0</v>
      </c>
      <c r="BH127" s="76" t="b">
        <v>0</v>
      </c>
      <c r="BI127" s="82" t="str">
        <f>HYPERLINK("https://pbs.twimg.com/profile_banners/2625684244/1500930456")</f>
        <v>https://pbs.twimg.com/profile_banners/2625684244/1500930456</v>
      </c>
      <c r="BJ127" s="76"/>
      <c r="BK127" s="76" t="s">
        <v>2092</v>
      </c>
      <c r="BL127" s="76" t="b">
        <v>0</v>
      </c>
      <c r="BM127" s="76"/>
      <c r="BN127" s="76" t="s">
        <v>65</v>
      </c>
      <c r="BO127" s="76" t="s">
        <v>2094</v>
      </c>
      <c r="BP127" s="82" t="str">
        <f>HYPERLINK("https://twitter.com/naomi_d_harvey")</f>
        <v>https://twitter.com/naomi_d_harvey</v>
      </c>
      <c r="BQ127" s="76" t="str">
        <f>REPLACE(INDEX(GroupVertices[Group],MATCH("~"&amp;Vertices[[#This Row],[Vertex]],GroupVertices[Vertex],0)),1,1,"")</f>
        <v>46</v>
      </c>
      <c r="BR127" s="45"/>
      <c r="BS127" s="46"/>
      <c r="BT127" s="45"/>
      <c r="BU127" s="46"/>
      <c r="BV127" s="45"/>
      <c r="BW127" s="46"/>
      <c r="BX127" s="45"/>
      <c r="BY127" s="46"/>
      <c r="BZ127" s="45"/>
      <c r="CA127" s="45"/>
      <c r="CB127" s="45"/>
      <c r="CC127" s="45"/>
      <c r="CD127" s="45"/>
      <c r="CE127" s="45"/>
      <c r="CF127" s="45"/>
      <c r="CG127" s="45"/>
      <c r="CH127" s="45"/>
      <c r="CI127" s="45"/>
      <c r="CJ127" s="45"/>
      <c r="CK127" s="2"/>
    </row>
    <row r="128" spans="1:89" ht="41.45" customHeight="1">
      <c r="A128" s="61" t="s">
        <v>389</v>
      </c>
      <c r="C128" s="62"/>
      <c r="D128" s="62" t="s">
        <v>64</v>
      </c>
      <c r="E128" s="63">
        <v>70</v>
      </c>
      <c r="F128" s="65"/>
      <c r="G128" s="101" t="str">
        <f>HYPERLINK("https://pbs.twimg.com/profile_images/1431349594978504710/yDNLhX4Y_normal.jpg")</f>
        <v>https://pbs.twimg.com/profile_images/1431349594978504710/yDNLhX4Y_normal.jpg</v>
      </c>
      <c r="H128" s="62"/>
      <c r="I128" s="66" t="s">
        <v>389</v>
      </c>
      <c r="J128" s="67"/>
      <c r="K128" s="67" t="s">
        <v>75</v>
      </c>
      <c r="L128" s="66" t="s">
        <v>2211</v>
      </c>
      <c r="M128" s="70">
        <v>2000.6</v>
      </c>
      <c r="N128" s="71">
        <v>8998.0224609375</v>
      </c>
      <c r="O128" s="71">
        <v>9526.517578125</v>
      </c>
      <c r="P128" s="72"/>
      <c r="Q128" s="73"/>
      <c r="R128" s="73"/>
      <c r="S128" s="87"/>
      <c r="T128" s="45">
        <v>1</v>
      </c>
      <c r="U128" s="45">
        <v>0</v>
      </c>
      <c r="V128" s="46">
        <v>0</v>
      </c>
      <c r="W128" s="46">
        <v>0.00626</v>
      </c>
      <c r="X128" s="46">
        <v>0</v>
      </c>
      <c r="Y128" s="46">
        <v>0.004368</v>
      </c>
      <c r="Z128" s="46">
        <v>0</v>
      </c>
      <c r="AA128" s="46">
        <v>0</v>
      </c>
      <c r="AB128" s="68">
        <v>120</v>
      </c>
      <c r="AC128" s="68"/>
      <c r="AD128" s="69"/>
      <c r="AE128" s="76" t="s">
        <v>1444</v>
      </c>
      <c r="AF128" s="80" t="s">
        <v>1596</v>
      </c>
      <c r="AG128" s="76">
        <v>524035</v>
      </c>
      <c r="AH128" s="76">
        <v>56</v>
      </c>
      <c r="AI128" s="76">
        <v>47526</v>
      </c>
      <c r="AJ128" s="76">
        <v>2515</v>
      </c>
      <c r="AK128" s="76">
        <v>182</v>
      </c>
      <c r="AL128" s="76">
        <v>28003</v>
      </c>
      <c r="AM128" s="76" t="b">
        <v>0</v>
      </c>
      <c r="AN128" s="78">
        <v>40003.797743055555</v>
      </c>
      <c r="AO128" s="76" t="s">
        <v>1701</v>
      </c>
      <c r="AP128" s="76" t="s">
        <v>1861</v>
      </c>
      <c r="AQ128" s="82" t="str">
        <f>HYPERLINK("https://t.co/uyexCryWSX")</f>
        <v>https://t.co/uyexCryWSX</v>
      </c>
      <c r="AR128" s="82" t="str">
        <f>HYPERLINK("https://gop.com/rapid-response")</f>
        <v>https://gop.com/rapid-response</v>
      </c>
      <c r="AS128" s="76" t="s">
        <v>2008</v>
      </c>
      <c r="AT128" s="76"/>
      <c r="AU128" s="76"/>
      <c r="AV128" s="76"/>
      <c r="AW128" s="76">
        <v>1.75140903522242E+18</v>
      </c>
      <c r="AX128" s="82" t="str">
        <f>HYPERLINK("https://t.co/uyexCryWSX")</f>
        <v>https://t.co/uyexCryWSX</v>
      </c>
      <c r="AY128" s="76" t="b">
        <v>1</v>
      </c>
      <c r="AZ128" s="76"/>
      <c r="BA128" s="76"/>
      <c r="BB128" s="76" t="b">
        <v>0</v>
      </c>
      <c r="BC128" s="76" t="b">
        <v>1</v>
      </c>
      <c r="BD128" s="76" t="b">
        <v>0</v>
      </c>
      <c r="BE128" s="76" t="b">
        <v>0</v>
      </c>
      <c r="BF128" s="76" t="b">
        <v>0</v>
      </c>
      <c r="BG128" s="76" t="b">
        <v>0</v>
      </c>
      <c r="BH128" s="76" t="b">
        <v>0</v>
      </c>
      <c r="BI128" s="82" t="str">
        <f>HYPERLINK("https://pbs.twimg.com/profile_banners/55329156/1675561195")</f>
        <v>https://pbs.twimg.com/profile_banners/55329156/1675561195</v>
      </c>
      <c r="BJ128" s="76"/>
      <c r="BK128" s="76" t="s">
        <v>2092</v>
      </c>
      <c r="BL128" s="76" t="b">
        <v>0</v>
      </c>
      <c r="BM128" s="76"/>
      <c r="BN128" s="76" t="s">
        <v>65</v>
      </c>
      <c r="BO128" s="76" t="s">
        <v>2094</v>
      </c>
      <c r="BP128" s="82" t="str">
        <f>HYPERLINK("https://twitter.com/rncresearch")</f>
        <v>https://twitter.com/rncresearch</v>
      </c>
      <c r="BQ128" s="76" t="str">
        <f>REPLACE(INDEX(GroupVertices[Group],MATCH("~"&amp;Vertices[[#This Row],[Vertex]],GroupVertices[Vertex],0)),1,1,"")</f>
        <v>16</v>
      </c>
      <c r="BR128" s="45"/>
      <c r="BS128" s="46"/>
      <c r="BT128" s="45"/>
      <c r="BU128" s="46"/>
      <c r="BV128" s="45"/>
      <c r="BW128" s="46"/>
      <c r="BX128" s="45"/>
      <c r="BY128" s="46"/>
      <c r="BZ128" s="45"/>
      <c r="CA128" s="45"/>
      <c r="CB128" s="45"/>
      <c r="CC128" s="45"/>
      <c r="CD128" s="45"/>
      <c r="CE128" s="45"/>
      <c r="CF128" s="45"/>
      <c r="CG128" s="45"/>
      <c r="CH128" s="45"/>
      <c r="CI128" s="45"/>
      <c r="CJ128" s="45"/>
      <c r="CK128" s="2"/>
    </row>
    <row r="129" spans="1:89" ht="41.45" customHeight="1">
      <c r="A129" s="61" t="s">
        <v>390</v>
      </c>
      <c r="C129" s="62"/>
      <c r="D129" s="62" t="s">
        <v>64</v>
      </c>
      <c r="E129" s="63">
        <v>70</v>
      </c>
      <c r="F129" s="65"/>
      <c r="G129" s="101" t="str">
        <f>HYPERLINK("https://pbs.twimg.com/profile_images/1325087660428447746/4DL2iq76_normal.jpg")</f>
        <v>https://pbs.twimg.com/profile_images/1325087660428447746/4DL2iq76_normal.jpg</v>
      </c>
      <c r="H129" s="62"/>
      <c r="I129" s="66" t="s">
        <v>390</v>
      </c>
      <c r="J129" s="67"/>
      <c r="K129" s="67" t="s">
        <v>75</v>
      </c>
      <c r="L129" s="66" t="s">
        <v>2212</v>
      </c>
      <c r="M129" s="70">
        <v>2000.6</v>
      </c>
      <c r="N129" s="71">
        <v>8618.1083984375</v>
      </c>
      <c r="O129" s="71">
        <v>8682.34765625</v>
      </c>
      <c r="P129" s="72"/>
      <c r="Q129" s="73"/>
      <c r="R129" s="73"/>
      <c r="S129" s="87"/>
      <c r="T129" s="45">
        <v>1</v>
      </c>
      <c r="U129" s="45">
        <v>0</v>
      </c>
      <c r="V129" s="46">
        <v>0</v>
      </c>
      <c r="W129" s="46">
        <v>0.00626</v>
      </c>
      <c r="X129" s="46">
        <v>0</v>
      </c>
      <c r="Y129" s="46">
        <v>0.004368</v>
      </c>
      <c r="Z129" s="46">
        <v>0</v>
      </c>
      <c r="AA129" s="46">
        <v>0</v>
      </c>
      <c r="AB129" s="68">
        <v>121</v>
      </c>
      <c r="AC129" s="68"/>
      <c r="AD129" s="69"/>
      <c r="AE129" s="76" t="s">
        <v>1445</v>
      </c>
      <c r="AF129" s="80" t="s">
        <v>1178</v>
      </c>
      <c r="AG129" s="76">
        <v>819910</v>
      </c>
      <c r="AH129" s="76">
        <v>368</v>
      </c>
      <c r="AI129" s="76">
        <v>8734</v>
      </c>
      <c r="AJ129" s="76">
        <v>2601</v>
      </c>
      <c r="AK129" s="76">
        <v>3729</v>
      </c>
      <c r="AL129" s="76">
        <v>2257</v>
      </c>
      <c r="AM129" s="76" t="b">
        <v>0</v>
      </c>
      <c r="AN129" s="78">
        <v>42942.17365740741</v>
      </c>
      <c r="AO129" s="76" t="s">
        <v>849</v>
      </c>
      <c r="AP129" s="76" t="s">
        <v>1862</v>
      </c>
      <c r="AQ129" s="82" t="str">
        <f>HYPERLINK("https://t.co/MbpH1fNere")</f>
        <v>https://t.co/MbpH1fNere</v>
      </c>
      <c r="AR129" s="82" t="str">
        <f>HYPERLINK("https://trendingpoliticsnews.com")</f>
        <v>https://trendingpoliticsnews.com</v>
      </c>
      <c r="AS129" s="76" t="s">
        <v>2009</v>
      </c>
      <c r="AT129" s="76"/>
      <c r="AU129" s="76"/>
      <c r="AV129" s="76"/>
      <c r="AW129" s="76">
        <v>1.59655656652991E+18</v>
      </c>
      <c r="AX129" s="82" t="str">
        <f>HYPERLINK("https://t.co/MbpH1fNere")</f>
        <v>https://t.co/MbpH1fNere</v>
      </c>
      <c r="AY129" s="76" t="b">
        <v>1</v>
      </c>
      <c r="AZ129" s="76"/>
      <c r="BA129" s="76"/>
      <c r="BB129" s="76" t="b">
        <v>1</v>
      </c>
      <c r="BC129" s="76" t="b">
        <v>0</v>
      </c>
      <c r="BD129" s="76" t="b">
        <v>1</v>
      </c>
      <c r="BE129" s="76" t="b">
        <v>0</v>
      </c>
      <c r="BF129" s="76" t="b">
        <v>1</v>
      </c>
      <c r="BG129" s="76" t="b">
        <v>0</v>
      </c>
      <c r="BH129" s="76" t="b">
        <v>0</v>
      </c>
      <c r="BI129" s="82" t="str">
        <f>HYPERLINK("https://pbs.twimg.com/profile_banners/890061634181373952/1613522799")</f>
        <v>https://pbs.twimg.com/profile_banners/890061634181373952/1613522799</v>
      </c>
      <c r="BJ129" s="76"/>
      <c r="BK129" s="76" t="s">
        <v>2092</v>
      </c>
      <c r="BL129" s="76" t="b">
        <v>0</v>
      </c>
      <c r="BM129" s="76"/>
      <c r="BN129" s="76" t="s">
        <v>65</v>
      </c>
      <c r="BO129" s="76" t="s">
        <v>2094</v>
      </c>
      <c r="BP129" s="82" t="str">
        <f>HYPERLINK("https://twitter.com/collinrugg")</f>
        <v>https://twitter.com/collinrugg</v>
      </c>
      <c r="BQ129" s="76" t="str">
        <f>REPLACE(INDEX(GroupVertices[Group],MATCH("~"&amp;Vertices[[#This Row],[Vertex]],GroupVertices[Vertex],0)),1,1,"")</f>
        <v>16</v>
      </c>
      <c r="BR129" s="45"/>
      <c r="BS129" s="46"/>
      <c r="BT129" s="45"/>
      <c r="BU129" s="46"/>
      <c r="BV129" s="45"/>
      <c r="BW129" s="46"/>
      <c r="BX129" s="45"/>
      <c r="BY129" s="46"/>
      <c r="BZ129" s="45"/>
      <c r="CA129" s="45"/>
      <c r="CB129" s="45"/>
      <c r="CC129" s="45"/>
      <c r="CD129" s="45"/>
      <c r="CE129" s="45"/>
      <c r="CF129" s="45"/>
      <c r="CG129" s="45"/>
      <c r="CH129" s="45"/>
      <c r="CI129" s="45"/>
      <c r="CJ129" s="45"/>
      <c r="CK129" s="2"/>
    </row>
    <row r="130" spans="1:89" ht="41.45" customHeight="1">
      <c r="A130" s="61" t="s">
        <v>284</v>
      </c>
      <c r="C130" s="62"/>
      <c r="D130" s="62" t="s">
        <v>64</v>
      </c>
      <c r="E130" s="63">
        <v>70</v>
      </c>
      <c r="F130" s="65"/>
      <c r="G130" s="101" t="str">
        <f>HYPERLINK("https://pbs.twimg.com/profile_images/1234999131594055681/PBSrLVO2_normal.jpg")</f>
        <v>https://pbs.twimg.com/profile_images/1234999131594055681/PBSrLVO2_normal.jpg</v>
      </c>
      <c r="H130" s="62"/>
      <c r="I130" s="66" t="s">
        <v>284</v>
      </c>
      <c r="J130" s="67"/>
      <c r="K130" s="67" t="s">
        <v>75</v>
      </c>
      <c r="L130" s="66" t="s">
        <v>2213</v>
      </c>
      <c r="M130" s="70">
        <v>2000.6</v>
      </c>
      <c r="N130" s="71">
        <v>248.42568969726562</v>
      </c>
      <c r="O130" s="71">
        <v>7680.68359375</v>
      </c>
      <c r="P130" s="72"/>
      <c r="Q130" s="73"/>
      <c r="R130" s="73"/>
      <c r="S130" s="87"/>
      <c r="T130" s="45">
        <v>1</v>
      </c>
      <c r="U130" s="45">
        <v>1</v>
      </c>
      <c r="V130" s="46">
        <v>0</v>
      </c>
      <c r="W130" s="46">
        <v>0</v>
      </c>
      <c r="X130" s="46">
        <v>0</v>
      </c>
      <c r="Y130" s="46">
        <v>0.004673</v>
      </c>
      <c r="Z130" s="46">
        <v>0</v>
      </c>
      <c r="AA130" s="46">
        <v>0</v>
      </c>
      <c r="AB130" s="68">
        <v>122</v>
      </c>
      <c r="AC130" s="68"/>
      <c r="AD130" s="69"/>
      <c r="AE130" s="76" t="s">
        <v>1446</v>
      </c>
      <c r="AF130" s="80" t="s">
        <v>1597</v>
      </c>
      <c r="AG130" s="76">
        <v>256865</v>
      </c>
      <c r="AH130" s="76">
        <v>1219</v>
      </c>
      <c r="AI130" s="76">
        <v>279922</v>
      </c>
      <c r="AJ130" s="76">
        <v>2430</v>
      </c>
      <c r="AK130" s="76">
        <v>3878</v>
      </c>
      <c r="AL130" s="76">
        <v>76080</v>
      </c>
      <c r="AM130" s="76" t="b">
        <v>0</v>
      </c>
      <c r="AN130" s="78">
        <v>39527.75775462963</v>
      </c>
      <c r="AO130" s="76" t="s">
        <v>1677</v>
      </c>
      <c r="AP130" s="76" t="s">
        <v>1863</v>
      </c>
      <c r="AQ130" s="82" t="str">
        <f>HYPERLINK("https://t.co/E1l8O2QB70")</f>
        <v>https://t.co/E1l8O2QB70</v>
      </c>
      <c r="AR130" s="82" t="str">
        <f>HYPERLINK("http://www.kgw.com")</f>
        <v>http://www.kgw.com</v>
      </c>
      <c r="AS130" s="76" t="s">
        <v>608</v>
      </c>
      <c r="AT130" s="76"/>
      <c r="AU130" s="76"/>
      <c r="AV130" s="76"/>
      <c r="AW130" s="76"/>
      <c r="AX130" s="82" t="str">
        <f>HYPERLINK("https://t.co/E1l8O2QB70")</f>
        <v>https://t.co/E1l8O2QB70</v>
      </c>
      <c r="AY130" s="76" t="b">
        <v>0</v>
      </c>
      <c r="AZ130" s="76"/>
      <c r="BA130" s="76"/>
      <c r="BB130" s="76" t="b">
        <v>0</v>
      </c>
      <c r="BC130" s="76" t="b">
        <v>1</v>
      </c>
      <c r="BD130" s="76" t="b">
        <v>0</v>
      </c>
      <c r="BE130" s="76" t="b">
        <v>0</v>
      </c>
      <c r="BF130" s="76" t="b">
        <v>1</v>
      </c>
      <c r="BG130" s="76" t="b">
        <v>0</v>
      </c>
      <c r="BH130" s="76" t="b">
        <v>0</v>
      </c>
      <c r="BI130" s="82" t="str">
        <f>HYPERLINK("https://pbs.twimg.com/profile_banners/14185814/1637199129")</f>
        <v>https://pbs.twimg.com/profile_banners/14185814/1637199129</v>
      </c>
      <c r="BJ130" s="76"/>
      <c r="BK130" s="76" t="s">
        <v>2092</v>
      </c>
      <c r="BL130" s="76" t="b">
        <v>0</v>
      </c>
      <c r="BM130" s="76"/>
      <c r="BN130" s="76" t="s">
        <v>66</v>
      </c>
      <c r="BO130" s="76" t="s">
        <v>2094</v>
      </c>
      <c r="BP130" s="82" t="str">
        <f>HYPERLINK("https://twitter.com/kgwnews")</f>
        <v>https://twitter.com/kgwnews</v>
      </c>
      <c r="BQ130" s="76" t="str">
        <f>REPLACE(INDEX(GroupVertices[Group],MATCH("~"&amp;Vertices[[#This Row],[Vertex]],GroupVertices[Vertex],0)),1,1,"")</f>
        <v>1</v>
      </c>
      <c r="BR130" s="45">
        <v>0</v>
      </c>
      <c r="BS130" s="46">
        <v>0</v>
      </c>
      <c r="BT130" s="45">
        <v>2</v>
      </c>
      <c r="BU130" s="46">
        <v>14.285714285714286</v>
      </c>
      <c r="BV130" s="45">
        <v>0</v>
      </c>
      <c r="BW130" s="46">
        <v>0</v>
      </c>
      <c r="BX130" s="45">
        <v>9</v>
      </c>
      <c r="BY130" s="46">
        <v>64.28571428571429</v>
      </c>
      <c r="BZ130" s="45">
        <v>14</v>
      </c>
      <c r="CA130" s="45" t="s">
        <v>11005</v>
      </c>
      <c r="CB130" s="45" t="s">
        <v>11005</v>
      </c>
      <c r="CC130" s="45" t="s">
        <v>608</v>
      </c>
      <c r="CD130" s="45" t="s">
        <v>608</v>
      </c>
      <c r="CE130" s="45"/>
      <c r="CF130" s="45"/>
      <c r="CG130" s="114" t="s">
        <v>11347</v>
      </c>
      <c r="CH130" s="114" t="s">
        <v>11347</v>
      </c>
      <c r="CI130" s="114" t="s">
        <v>11476</v>
      </c>
      <c r="CJ130" s="114" t="s">
        <v>11476</v>
      </c>
      <c r="CK130" s="2"/>
    </row>
    <row r="131" spans="1:89" ht="41.45" customHeight="1">
      <c r="A131" s="61" t="s">
        <v>285</v>
      </c>
      <c r="C131" s="62"/>
      <c r="D131" s="62" t="s">
        <v>64</v>
      </c>
      <c r="E131" s="63">
        <v>70</v>
      </c>
      <c r="F131" s="65"/>
      <c r="G131" s="101" t="str">
        <f>HYPERLINK("https://pbs.twimg.com/profile_images/1658298697653026816/DRu3rFlr_normal.jpg")</f>
        <v>https://pbs.twimg.com/profile_images/1658298697653026816/DRu3rFlr_normal.jpg</v>
      </c>
      <c r="H131" s="62"/>
      <c r="I131" s="66" t="s">
        <v>285</v>
      </c>
      <c r="J131" s="67"/>
      <c r="K131" s="67" t="s">
        <v>75</v>
      </c>
      <c r="L131" s="66" t="s">
        <v>2214</v>
      </c>
      <c r="M131" s="70">
        <v>1</v>
      </c>
      <c r="N131" s="71">
        <v>6993.3720703125</v>
      </c>
      <c r="O131" s="71">
        <v>7881.01611328125</v>
      </c>
      <c r="P131" s="72"/>
      <c r="Q131" s="73"/>
      <c r="R131" s="73"/>
      <c r="S131" s="87"/>
      <c r="T131" s="45">
        <v>0</v>
      </c>
      <c r="U131" s="45">
        <v>1</v>
      </c>
      <c r="V131" s="46">
        <v>0</v>
      </c>
      <c r="W131" s="46">
        <v>0.004695</v>
      </c>
      <c r="X131" s="46">
        <v>0</v>
      </c>
      <c r="Y131" s="46">
        <v>0.004673</v>
      </c>
      <c r="Z131" s="46">
        <v>0</v>
      </c>
      <c r="AA131" s="46">
        <v>0</v>
      </c>
      <c r="AB131" s="68">
        <v>123</v>
      </c>
      <c r="AC131" s="68"/>
      <c r="AD131" s="69"/>
      <c r="AE131" s="76" t="s">
        <v>1447</v>
      </c>
      <c r="AF131" s="80" t="s">
        <v>1266</v>
      </c>
      <c r="AG131" s="76">
        <v>9710</v>
      </c>
      <c r="AH131" s="76">
        <v>10417</v>
      </c>
      <c r="AI131" s="76">
        <v>184167</v>
      </c>
      <c r="AJ131" s="76">
        <v>25</v>
      </c>
      <c r="AK131" s="76">
        <v>278566</v>
      </c>
      <c r="AL131" s="76">
        <v>1819</v>
      </c>
      <c r="AM131" s="76" t="b">
        <v>0</v>
      </c>
      <c r="AN131" s="78">
        <v>43732.766539351855</v>
      </c>
      <c r="AO131" s="76" t="s">
        <v>861</v>
      </c>
      <c r="AP131" s="76" t="s">
        <v>1864</v>
      </c>
      <c r="AQ131" s="76"/>
      <c r="AR131" s="76"/>
      <c r="AS131" s="76"/>
      <c r="AT131" s="76"/>
      <c r="AU131" s="76"/>
      <c r="AV131" s="76"/>
      <c r="AW131" s="76">
        <v>1.61141581515655E+18</v>
      </c>
      <c r="AX131" s="76"/>
      <c r="AY131" s="76" t="b">
        <v>0</v>
      </c>
      <c r="AZ131" s="76"/>
      <c r="BA131" s="76"/>
      <c r="BB131" s="76" t="b">
        <v>1</v>
      </c>
      <c r="BC131" s="76" t="b">
        <v>1</v>
      </c>
      <c r="BD131" s="76" t="b">
        <v>1</v>
      </c>
      <c r="BE131" s="76" t="b">
        <v>0</v>
      </c>
      <c r="BF131" s="76" t="b">
        <v>1</v>
      </c>
      <c r="BG131" s="76" t="b">
        <v>0</v>
      </c>
      <c r="BH131" s="76" t="b">
        <v>0</v>
      </c>
      <c r="BI131" s="82" t="str">
        <f>HYPERLINK("https://pbs.twimg.com/profile_banners/1176562844566872064/1602699593")</f>
        <v>https://pbs.twimg.com/profile_banners/1176562844566872064/1602699593</v>
      </c>
      <c r="BJ131" s="76"/>
      <c r="BK131" s="76" t="s">
        <v>2092</v>
      </c>
      <c r="BL131" s="76" t="b">
        <v>0</v>
      </c>
      <c r="BM131" s="76"/>
      <c r="BN131" s="76" t="s">
        <v>66</v>
      </c>
      <c r="BO131" s="76" t="s">
        <v>2094</v>
      </c>
      <c r="BP131" s="82" t="str">
        <f>HYPERLINK("https://twitter.com/shaving_s")</f>
        <v>https://twitter.com/shaving_s</v>
      </c>
      <c r="BQ131" s="76" t="str">
        <f>REPLACE(INDEX(GroupVertices[Group],MATCH("~"&amp;Vertices[[#This Row],[Vertex]],GroupVertices[Vertex],0)),1,1,"")</f>
        <v>45</v>
      </c>
      <c r="BR131" s="45">
        <v>0</v>
      </c>
      <c r="BS131" s="46">
        <v>0</v>
      </c>
      <c r="BT131" s="45">
        <v>4</v>
      </c>
      <c r="BU131" s="46">
        <v>12.121212121212121</v>
      </c>
      <c r="BV131" s="45">
        <v>0</v>
      </c>
      <c r="BW131" s="46">
        <v>0</v>
      </c>
      <c r="BX131" s="45">
        <v>14</v>
      </c>
      <c r="BY131" s="46">
        <v>42.42424242424242</v>
      </c>
      <c r="BZ131" s="45">
        <v>33</v>
      </c>
      <c r="CA131" s="45"/>
      <c r="CB131" s="45"/>
      <c r="CC131" s="45"/>
      <c r="CD131" s="45"/>
      <c r="CE131" s="45"/>
      <c r="CF131" s="45"/>
      <c r="CG131" s="114" t="s">
        <v>11348</v>
      </c>
      <c r="CH131" s="114" t="s">
        <v>11348</v>
      </c>
      <c r="CI131" s="114" t="s">
        <v>11477</v>
      </c>
      <c r="CJ131" s="114" t="s">
        <v>11477</v>
      </c>
      <c r="CK131" s="2"/>
    </row>
    <row r="132" spans="1:89" ht="41.45" customHeight="1">
      <c r="A132" s="61" t="s">
        <v>391</v>
      </c>
      <c r="C132" s="62"/>
      <c r="D132" s="62" t="s">
        <v>64</v>
      </c>
      <c r="E132" s="63">
        <v>70</v>
      </c>
      <c r="F132" s="65"/>
      <c r="G132" s="101" t="str">
        <f>HYPERLINK("https://pbs.twimg.com/profile_images/1713455259564048384/82D6Ljgp_normal.jpg")</f>
        <v>https://pbs.twimg.com/profile_images/1713455259564048384/82D6Ljgp_normal.jpg</v>
      </c>
      <c r="H132" s="62"/>
      <c r="I132" s="66" t="s">
        <v>391</v>
      </c>
      <c r="J132" s="67"/>
      <c r="K132" s="67" t="s">
        <v>75</v>
      </c>
      <c r="L132" s="66" t="s">
        <v>2215</v>
      </c>
      <c r="M132" s="70">
        <v>2000.6</v>
      </c>
      <c r="N132" s="71">
        <v>6993.3720703125</v>
      </c>
      <c r="O132" s="71">
        <v>7223.31982421875</v>
      </c>
      <c r="P132" s="72"/>
      <c r="Q132" s="73"/>
      <c r="R132" s="73"/>
      <c r="S132" s="87"/>
      <c r="T132" s="45">
        <v>1</v>
      </c>
      <c r="U132" s="45">
        <v>0</v>
      </c>
      <c r="V132" s="46">
        <v>0</v>
      </c>
      <c r="W132" s="46">
        <v>0.004695</v>
      </c>
      <c r="X132" s="46">
        <v>0</v>
      </c>
      <c r="Y132" s="46">
        <v>0.004673</v>
      </c>
      <c r="Z132" s="46">
        <v>0</v>
      </c>
      <c r="AA132" s="46">
        <v>0</v>
      </c>
      <c r="AB132" s="68">
        <v>124</v>
      </c>
      <c r="AC132" s="68"/>
      <c r="AD132" s="69"/>
      <c r="AE132" s="76" t="s">
        <v>1448</v>
      </c>
      <c r="AF132" s="80" t="s">
        <v>1179</v>
      </c>
      <c r="AG132" s="76">
        <v>188470</v>
      </c>
      <c r="AH132" s="76">
        <v>5098</v>
      </c>
      <c r="AI132" s="76">
        <v>164635</v>
      </c>
      <c r="AJ132" s="76">
        <v>571</v>
      </c>
      <c r="AK132" s="76">
        <v>1410961</v>
      </c>
      <c r="AL132" s="76">
        <v>19112</v>
      </c>
      <c r="AM132" s="76" t="b">
        <v>0</v>
      </c>
      <c r="AN132" s="78">
        <v>43540.179918981485</v>
      </c>
      <c r="AO132" s="76" t="s">
        <v>1702</v>
      </c>
      <c r="AP132" s="76" t="s">
        <v>1865</v>
      </c>
      <c r="AQ132" s="76"/>
      <c r="AR132" s="76"/>
      <c r="AS132" s="76"/>
      <c r="AT132" s="76"/>
      <c r="AU132" s="76"/>
      <c r="AV132" s="76"/>
      <c r="AW132" s="76">
        <v>1.24349000702693E+18</v>
      </c>
      <c r="AX132" s="76"/>
      <c r="AY132" s="76" t="b">
        <v>0</v>
      </c>
      <c r="AZ132" s="76"/>
      <c r="BA132" s="76"/>
      <c r="BB132" s="76" t="b">
        <v>1</v>
      </c>
      <c r="BC132" s="76" t="b">
        <v>0</v>
      </c>
      <c r="BD132" s="76" t="b">
        <v>1</v>
      </c>
      <c r="BE132" s="76" t="b">
        <v>0</v>
      </c>
      <c r="BF132" s="76" t="b">
        <v>1</v>
      </c>
      <c r="BG132" s="76" t="b">
        <v>0</v>
      </c>
      <c r="BH132" s="76" t="b">
        <v>0</v>
      </c>
      <c r="BI132" s="82" t="str">
        <f>HYPERLINK("https://pbs.twimg.com/profile_banners/1106771843929788419/1705153062")</f>
        <v>https://pbs.twimg.com/profile_banners/1106771843929788419/1705153062</v>
      </c>
      <c r="BJ132" s="76"/>
      <c r="BK132" s="76" t="s">
        <v>2092</v>
      </c>
      <c r="BL132" s="76" t="b">
        <v>0</v>
      </c>
      <c r="BM132" s="76"/>
      <c r="BN132" s="76" t="s">
        <v>65</v>
      </c>
      <c r="BO132" s="76" t="s">
        <v>2094</v>
      </c>
      <c r="BP132" s="82" t="str">
        <f>HYPERLINK("https://twitter.com/nothoodlum")</f>
        <v>https://twitter.com/nothoodlum</v>
      </c>
      <c r="BQ132" s="76" t="str">
        <f>REPLACE(INDEX(GroupVertices[Group],MATCH("~"&amp;Vertices[[#This Row],[Vertex]],GroupVertices[Vertex],0)),1,1,"")</f>
        <v>45</v>
      </c>
      <c r="BR132" s="45"/>
      <c r="BS132" s="46"/>
      <c r="BT132" s="45"/>
      <c r="BU132" s="46"/>
      <c r="BV132" s="45"/>
      <c r="BW132" s="46"/>
      <c r="BX132" s="45"/>
      <c r="BY132" s="46"/>
      <c r="BZ132" s="45"/>
      <c r="CA132" s="45"/>
      <c r="CB132" s="45"/>
      <c r="CC132" s="45"/>
      <c r="CD132" s="45"/>
      <c r="CE132" s="45"/>
      <c r="CF132" s="45"/>
      <c r="CG132" s="45"/>
      <c r="CH132" s="45"/>
      <c r="CI132" s="45"/>
      <c r="CJ132" s="45"/>
      <c r="CK132" s="2"/>
    </row>
    <row r="133" spans="1:89" ht="41.45" customHeight="1">
      <c r="A133" s="61" t="s">
        <v>286</v>
      </c>
      <c r="C133" s="62"/>
      <c r="D133" s="62" t="s">
        <v>64</v>
      </c>
      <c r="E133" s="63">
        <v>70</v>
      </c>
      <c r="F133" s="65"/>
      <c r="G133" s="101" t="str">
        <f>HYPERLINK("https://pbs.twimg.com/profile_images/1764172727/Chuck_Headshot_normal.jpg")</f>
        <v>https://pbs.twimg.com/profile_images/1764172727/Chuck_Headshot_normal.jpg</v>
      </c>
      <c r="H133" s="62"/>
      <c r="I133" s="66" t="s">
        <v>286</v>
      </c>
      <c r="J133" s="67"/>
      <c r="K133" s="67" t="s">
        <v>75</v>
      </c>
      <c r="L133" s="66" t="s">
        <v>2216</v>
      </c>
      <c r="M133" s="70">
        <v>4000.2</v>
      </c>
      <c r="N133" s="71">
        <v>9652.7666015625</v>
      </c>
      <c r="O133" s="71">
        <v>5853.7490234375</v>
      </c>
      <c r="P133" s="72"/>
      <c r="Q133" s="73"/>
      <c r="R133" s="73"/>
      <c r="S133" s="87"/>
      <c r="T133" s="45">
        <v>2</v>
      </c>
      <c r="U133" s="45">
        <v>1</v>
      </c>
      <c r="V133" s="46">
        <v>0</v>
      </c>
      <c r="W133" s="46">
        <v>0.004695</v>
      </c>
      <c r="X133" s="46">
        <v>0</v>
      </c>
      <c r="Y133" s="46">
        <v>0.004999</v>
      </c>
      <c r="Z133" s="46">
        <v>0</v>
      </c>
      <c r="AA133" s="46">
        <v>0</v>
      </c>
      <c r="AB133" s="68">
        <v>125</v>
      </c>
      <c r="AC133" s="68"/>
      <c r="AD133" s="69"/>
      <c r="AE133" s="76" t="s">
        <v>1449</v>
      </c>
      <c r="AF133" s="80" t="s">
        <v>1598</v>
      </c>
      <c r="AG133" s="76">
        <v>694501</v>
      </c>
      <c r="AH133" s="76">
        <v>2299</v>
      </c>
      <c r="AI133" s="76">
        <v>125445</v>
      </c>
      <c r="AJ133" s="76">
        <v>2962</v>
      </c>
      <c r="AK133" s="76">
        <v>10050</v>
      </c>
      <c r="AL133" s="76">
        <v>17638</v>
      </c>
      <c r="AM133" s="76" t="b">
        <v>0</v>
      </c>
      <c r="AN133" s="78">
        <v>40920.64630787037</v>
      </c>
      <c r="AO133" s="76" t="s">
        <v>1703</v>
      </c>
      <c r="AP133" s="76" t="s">
        <v>1866</v>
      </c>
      <c r="AQ133" s="82" t="str">
        <f>HYPERLINK("https://t.co/isGCEz1eW7")</f>
        <v>https://t.co/isGCEz1eW7</v>
      </c>
      <c r="AR133" s="82" t="str">
        <f>HYPERLINK("http://bluntforcetruth.com/")</f>
        <v>http://bluntforcetruth.com/</v>
      </c>
      <c r="AS133" s="76" t="s">
        <v>2010</v>
      </c>
      <c r="AT133" s="76"/>
      <c r="AU133" s="76"/>
      <c r="AV133" s="76"/>
      <c r="AW133" s="76">
        <v>1.51853043280715E+18</v>
      </c>
      <c r="AX133" s="82" t="str">
        <f>HYPERLINK("https://t.co/isGCEz1eW7")</f>
        <v>https://t.co/isGCEz1eW7</v>
      </c>
      <c r="AY133" s="76" t="b">
        <v>0</v>
      </c>
      <c r="AZ133" s="76"/>
      <c r="BA133" s="76"/>
      <c r="BB133" s="76" t="b">
        <v>1</v>
      </c>
      <c r="BC133" s="76" t="b">
        <v>0</v>
      </c>
      <c r="BD133" s="76" t="b">
        <v>0</v>
      </c>
      <c r="BE133" s="76" t="b">
        <v>0</v>
      </c>
      <c r="BF133" s="76" t="b">
        <v>1</v>
      </c>
      <c r="BG133" s="76" t="b">
        <v>0</v>
      </c>
      <c r="BH133" s="76" t="b">
        <v>0</v>
      </c>
      <c r="BI133" s="82" t="str">
        <f>HYPERLINK("https://pbs.twimg.com/profile_banners/462104542/1499952548")</f>
        <v>https://pbs.twimg.com/profile_banners/462104542/1499952548</v>
      </c>
      <c r="BJ133" s="76"/>
      <c r="BK133" s="76" t="s">
        <v>2092</v>
      </c>
      <c r="BL133" s="76" t="b">
        <v>0</v>
      </c>
      <c r="BM133" s="76"/>
      <c r="BN133" s="76" t="s">
        <v>66</v>
      </c>
      <c r="BO133" s="76" t="s">
        <v>2094</v>
      </c>
      <c r="BP133" s="82" t="str">
        <f>HYPERLINK("https://twitter.com/chuckwoolery")</f>
        <v>https://twitter.com/chuckwoolery</v>
      </c>
      <c r="BQ133" s="76" t="str">
        <f>REPLACE(INDEX(GroupVertices[Group],MATCH("~"&amp;Vertices[[#This Row],[Vertex]],GroupVertices[Vertex],0)),1,1,"")</f>
        <v>44</v>
      </c>
      <c r="BR133" s="45">
        <v>1</v>
      </c>
      <c r="BS133" s="46">
        <v>14.285714285714286</v>
      </c>
      <c r="BT133" s="45">
        <v>1</v>
      </c>
      <c r="BU133" s="46">
        <v>14.285714285714286</v>
      </c>
      <c r="BV133" s="45">
        <v>0</v>
      </c>
      <c r="BW133" s="46">
        <v>0</v>
      </c>
      <c r="BX133" s="45">
        <v>2</v>
      </c>
      <c r="BY133" s="46">
        <v>28.571428571428573</v>
      </c>
      <c r="BZ133" s="45">
        <v>7</v>
      </c>
      <c r="CA133" s="45" t="s">
        <v>11033</v>
      </c>
      <c r="CB133" s="45" t="s">
        <v>11033</v>
      </c>
      <c r="CC133" s="45" t="s">
        <v>611</v>
      </c>
      <c r="CD133" s="45" t="s">
        <v>611</v>
      </c>
      <c r="CE133" s="45"/>
      <c r="CF133" s="45"/>
      <c r="CG133" s="114" t="s">
        <v>11349</v>
      </c>
      <c r="CH133" s="114" t="s">
        <v>11349</v>
      </c>
      <c r="CI133" s="114" t="s">
        <v>11478</v>
      </c>
      <c r="CJ133" s="114" t="s">
        <v>11478</v>
      </c>
      <c r="CK133" s="2"/>
    </row>
    <row r="134" spans="1:89" ht="41.45" customHeight="1">
      <c r="A134" s="61" t="s">
        <v>287</v>
      </c>
      <c r="C134" s="62"/>
      <c r="D134" s="62" t="s">
        <v>64</v>
      </c>
      <c r="E134" s="63">
        <v>70</v>
      </c>
      <c r="F134" s="65"/>
      <c r="G134" s="101" t="str">
        <f>HYPERLINK("https://pbs.twimg.com/profile_images/1733746878989352960/S3w_MIUm_normal.jpg")</f>
        <v>https://pbs.twimg.com/profile_images/1733746878989352960/S3w_MIUm_normal.jpg</v>
      </c>
      <c r="H134" s="62"/>
      <c r="I134" s="66" t="s">
        <v>287</v>
      </c>
      <c r="J134" s="67"/>
      <c r="K134" s="67" t="s">
        <v>75</v>
      </c>
      <c r="L134" s="66" t="s">
        <v>2217</v>
      </c>
      <c r="M134" s="70">
        <v>1</v>
      </c>
      <c r="N134" s="71">
        <v>9652.7666015625</v>
      </c>
      <c r="O134" s="71">
        <v>6513.9658203125</v>
      </c>
      <c r="P134" s="72"/>
      <c r="Q134" s="73"/>
      <c r="R134" s="73"/>
      <c r="S134" s="87"/>
      <c r="T134" s="45">
        <v>0</v>
      </c>
      <c r="U134" s="45">
        <v>1</v>
      </c>
      <c r="V134" s="46">
        <v>0</v>
      </c>
      <c r="W134" s="46">
        <v>0.004695</v>
      </c>
      <c r="X134" s="46">
        <v>0</v>
      </c>
      <c r="Y134" s="46">
        <v>0.004347</v>
      </c>
      <c r="Z134" s="46">
        <v>0</v>
      </c>
      <c r="AA134" s="46">
        <v>0</v>
      </c>
      <c r="AB134" s="68">
        <v>126</v>
      </c>
      <c r="AC134" s="68"/>
      <c r="AD134" s="69"/>
      <c r="AE134" s="76" t="s">
        <v>1450</v>
      </c>
      <c r="AF134" s="80" t="s">
        <v>1599</v>
      </c>
      <c r="AG134" s="76">
        <v>1493</v>
      </c>
      <c r="AH134" s="76">
        <v>3088</v>
      </c>
      <c r="AI134" s="76">
        <v>123354</v>
      </c>
      <c r="AJ134" s="76">
        <v>27</v>
      </c>
      <c r="AK134" s="76">
        <v>1021</v>
      </c>
      <c r="AL134" s="76">
        <v>5568</v>
      </c>
      <c r="AM134" s="76" t="b">
        <v>0</v>
      </c>
      <c r="AN134" s="78">
        <v>40045.80552083333</v>
      </c>
      <c r="AO134" s="76" t="s">
        <v>860</v>
      </c>
      <c r="AP134" s="76" t="s">
        <v>1867</v>
      </c>
      <c r="AQ134" s="76"/>
      <c r="AR134" s="76"/>
      <c r="AS134" s="76"/>
      <c r="AT134" s="76"/>
      <c r="AU134" s="76"/>
      <c r="AV134" s="76"/>
      <c r="AW134" s="76"/>
      <c r="AX134" s="76"/>
      <c r="AY134" s="76" t="b">
        <v>0</v>
      </c>
      <c r="AZ134" s="76"/>
      <c r="BA134" s="76"/>
      <c r="BB134" s="76" t="b">
        <v>1</v>
      </c>
      <c r="BC134" s="76" t="b">
        <v>0</v>
      </c>
      <c r="BD134" s="76" t="b">
        <v>0</v>
      </c>
      <c r="BE134" s="76" t="b">
        <v>0</v>
      </c>
      <c r="BF134" s="76" t="b">
        <v>1</v>
      </c>
      <c r="BG134" s="76" t="b">
        <v>0</v>
      </c>
      <c r="BH134" s="76" t="b">
        <v>0</v>
      </c>
      <c r="BI134" s="82" t="str">
        <f>HYPERLINK("https://pbs.twimg.com/profile_banners/67397666/1534696203")</f>
        <v>https://pbs.twimg.com/profile_banners/67397666/1534696203</v>
      </c>
      <c r="BJ134" s="76"/>
      <c r="BK134" s="76" t="s">
        <v>2092</v>
      </c>
      <c r="BL134" s="76" t="b">
        <v>0</v>
      </c>
      <c r="BM134" s="76"/>
      <c r="BN134" s="76" t="s">
        <v>66</v>
      </c>
      <c r="BO134" s="76" t="s">
        <v>2094</v>
      </c>
      <c r="BP134" s="82" t="str">
        <f>HYPERLINK("https://twitter.com/billy_purcell")</f>
        <v>https://twitter.com/billy_purcell</v>
      </c>
      <c r="BQ134" s="76" t="str">
        <f>REPLACE(INDEX(GroupVertices[Group],MATCH("~"&amp;Vertices[[#This Row],[Vertex]],GroupVertices[Vertex],0)),1,1,"")</f>
        <v>44</v>
      </c>
      <c r="BR134" s="45">
        <v>0</v>
      </c>
      <c r="BS134" s="46">
        <v>0</v>
      </c>
      <c r="BT134" s="45">
        <v>4</v>
      </c>
      <c r="BU134" s="46">
        <v>25</v>
      </c>
      <c r="BV134" s="45">
        <v>0</v>
      </c>
      <c r="BW134" s="46">
        <v>0</v>
      </c>
      <c r="BX134" s="45">
        <v>7</v>
      </c>
      <c r="BY134" s="46">
        <v>43.75</v>
      </c>
      <c r="BZ134" s="45">
        <v>16</v>
      </c>
      <c r="CA134" s="45"/>
      <c r="CB134" s="45"/>
      <c r="CC134" s="45"/>
      <c r="CD134" s="45"/>
      <c r="CE134" s="45"/>
      <c r="CF134" s="45"/>
      <c r="CG134" s="114" t="s">
        <v>11350</v>
      </c>
      <c r="CH134" s="114" t="s">
        <v>11350</v>
      </c>
      <c r="CI134" s="114" t="s">
        <v>11479</v>
      </c>
      <c r="CJ134" s="114" t="s">
        <v>11479</v>
      </c>
      <c r="CK134" s="2"/>
    </row>
    <row r="135" spans="1:89" ht="41.45" customHeight="1">
      <c r="A135" s="61" t="s">
        <v>392</v>
      </c>
      <c r="C135" s="62"/>
      <c r="D135" s="62" t="s">
        <v>64</v>
      </c>
      <c r="E135" s="63">
        <v>70</v>
      </c>
      <c r="F135" s="65"/>
      <c r="G135" s="101" t="str">
        <f>HYPERLINK("https://pbs.twimg.com/profile_images/1542980790966943744/4xEqtVpm_normal.jpg")</f>
        <v>https://pbs.twimg.com/profile_images/1542980790966943744/4xEqtVpm_normal.jpg</v>
      </c>
      <c r="H135" s="62"/>
      <c r="I135" s="66" t="s">
        <v>392</v>
      </c>
      <c r="J135" s="67"/>
      <c r="K135" s="67" t="s">
        <v>75</v>
      </c>
      <c r="L135" s="66" t="s">
        <v>2219</v>
      </c>
      <c r="M135" s="70">
        <v>2000.6</v>
      </c>
      <c r="N135" s="71">
        <v>2999.041748046875</v>
      </c>
      <c r="O135" s="71">
        <v>5170.85400390625</v>
      </c>
      <c r="P135" s="72"/>
      <c r="Q135" s="73"/>
      <c r="R135" s="73"/>
      <c r="S135" s="87"/>
      <c r="T135" s="45">
        <v>1</v>
      </c>
      <c r="U135" s="45">
        <v>0</v>
      </c>
      <c r="V135" s="46">
        <v>0</v>
      </c>
      <c r="W135" s="46">
        <v>0.015365</v>
      </c>
      <c r="X135" s="46">
        <v>0</v>
      </c>
      <c r="Y135" s="46">
        <v>0.004165</v>
      </c>
      <c r="Z135" s="46">
        <v>0</v>
      </c>
      <c r="AA135" s="46">
        <v>0</v>
      </c>
      <c r="AB135" s="68">
        <v>128</v>
      </c>
      <c r="AC135" s="68"/>
      <c r="AD135" s="69"/>
      <c r="AE135" s="76" t="s">
        <v>1452</v>
      </c>
      <c r="AF135" s="80" t="s">
        <v>1601</v>
      </c>
      <c r="AG135" s="76">
        <v>150273</v>
      </c>
      <c r="AH135" s="76">
        <v>561</v>
      </c>
      <c r="AI135" s="76">
        <v>2519</v>
      </c>
      <c r="AJ135" s="76">
        <v>1184</v>
      </c>
      <c r="AK135" s="76">
        <v>509</v>
      </c>
      <c r="AL135" s="76">
        <v>1387</v>
      </c>
      <c r="AM135" s="76" t="b">
        <v>0</v>
      </c>
      <c r="AN135" s="78">
        <v>41610.933587962965</v>
      </c>
      <c r="AO135" s="76" t="s">
        <v>1704</v>
      </c>
      <c r="AP135" s="76" t="s">
        <v>1869</v>
      </c>
      <c r="AQ135" s="82" t="str">
        <f>HYPERLINK("https://t.co/aDoJMsuwpf")</f>
        <v>https://t.co/aDoJMsuwpf</v>
      </c>
      <c r="AR135" s="82" t="str">
        <f>HYPERLINK("http://www.modernatx.com")</f>
        <v>http://www.modernatx.com</v>
      </c>
      <c r="AS135" s="76" t="s">
        <v>2011</v>
      </c>
      <c r="AT135" s="76"/>
      <c r="AU135" s="76"/>
      <c r="AV135" s="76"/>
      <c r="AW135" s="76"/>
      <c r="AX135" s="82" t="str">
        <f>HYPERLINK("https://t.co/aDoJMsuwpf")</f>
        <v>https://t.co/aDoJMsuwpf</v>
      </c>
      <c r="AY135" s="76" t="b">
        <v>1</v>
      </c>
      <c r="AZ135" s="76"/>
      <c r="BA135" s="76"/>
      <c r="BB135" s="76" t="b">
        <v>0</v>
      </c>
      <c r="BC135" s="76" t="b">
        <v>1</v>
      </c>
      <c r="BD135" s="76" t="b">
        <v>0</v>
      </c>
      <c r="BE135" s="76" t="b">
        <v>0</v>
      </c>
      <c r="BF135" s="76" t="b">
        <v>0</v>
      </c>
      <c r="BG135" s="76" t="b">
        <v>0</v>
      </c>
      <c r="BH135" s="76" t="b">
        <v>0</v>
      </c>
      <c r="BI135" s="82" t="str">
        <f>HYPERLINK("https://pbs.twimg.com/profile_banners/2227355222/1690224690")</f>
        <v>https://pbs.twimg.com/profile_banners/2227355222/1690224690</v>
      </c>
      <c r="BJ135" s="76"/>
      <c r="BK135" s="76" t="s">
        <v>2092</v>
      </c>
      <c r="BL135" s="76" t="b">
        <v>0</v>
      </c>
      <c r="BM135" s="76"/>
      <c r="BN135" s="76" t="s">
        <v>65</v>
      </c>
      <c r="BO135" s="76" t="s">
        <v>2094</v>
      </c>
      <c r="BP135" s="82" t="str">
        <f>HYPERLINK("https://twitter.com/moderna_tx")</f>
        <v>https://twitter.com/moderna_tx</v>
      </c>
      <c r="BQ135" s="76" t="str">
        <f>REPLACE(INDEX(GroupVertices[Group],MATCH("~"&amp;Vertices[[#This Row],[Vertex]],GroupVertices[Vertex],0)),1,1,"")</f>
        <v>4</v>
      </c>
      <c r="BR135" s="45"/>
      <c r="BS135" s="46"/>
      <c r="BT135" s="45"/>
      <c r="BU135" s="46"/>
      <c r="BV135" s="45"/>
      <c r="BW135" s="46"/>
      <c r="BX135" s="45"/>
      <c r="BY135" s="46"/>
      <c r="BZ135" s="45"/>
      <c r="CA135" s="45"/>
      <c r="CB135" s="45"/>
      <c r="CC135" s="45"/>
      <c r="CD135" s="45"/>
      <c r="CE135" s="45"/>
      <c r="CF135" s="45"/>
      <c r="CG135" s="45"/>
      <c r="CH135" s="45"/>
      <c r="CI135" s="45"/>
      <c r="CJ135" s="45"/>
      <c r="CK135" s="2"/>
    </row>
    <row r="136" spans="1:89" ht="41.45" customHeight="1">
      <c r="A136" s="61" t="s">
        <v>393</v>
      </c>
      <c r="C136" s="62"/>
      <c r="D136" s="62" t="s">
        <v>64</v>
      </c>
      <c r="E136" s="63">
        <v>70</v>
      </c>
      <c r="F136" s="65"/>
      <c r="G136" s="101" t="str">
        <f>HYPERLINK("https://pbs.twimg.com/profile_images/1674741014995582977/pei3GhgA_normal.jpg")</f>
        <v>https://pbs.twimg.com/profile_images/1674741014995582977/pei3GhgA_normal.jpg</v>
      </c>
      <c r="H136" s="62"/>
      <c r="I136" s="66" t="s">
        <v>393</v>
      </c>
      <c r="J136" s="67"/>
      <c r="K136" s="67" t="s">
        <v>75</v>
      </c>
      <c r="L136" s="66" t="s">
        <v>2220</v>
      </c>
      <c r="M136" s="70">
        <v>2000.6</v>
      </c>
      <c r="N136" s="71">
        <v>2441.296142578125</v>
      </c>
      <c r="O136" s="71">
        <v>4862.9599609375</v>
      </c>
      <c r="P136" s="72"/>
      <c r="Q136" s="73"/>
      <c r="R136" s="73"/>
      <c r="S136" s="87"/>
      <c r="T136" s="45">
        <v>1</v>
      </c>
      <c r="U136" s="45">
        <v>0</v>
      </c>
      <c r="V136" s="46">
        <v>0</v>
      </c>
      <c r="W136" s="46">
        <v>0.015365</v>
      </c>
      <c r="X136" s="46">
        <v>0</v>
      </c>
      <c r="Y136" s="46">
        <v>0.004165</v>
      </c>
      <c r="Z136" s="46">
        <v>0</v>
      </c>
      <c r="AA136" s="46">
        <v>0</v>
      </c>
      <c r="AB136" s="68">
        <v>129</v>
      </c>
      <c r="AC136" s="68"/>
      <c r="AD136" s="69"/>
      <c r="AE136" s="76" t="s">
        <v>1453</v>
      </c>
      <c r="AF136" s="80" t="s">
        <v>1602</v>
      </c>
      <c r="AG136" s="76">
        <v>513057</v>
      </c>
      <c r="AH136" s="76">
        <v>216</v>
      </c>
      <c r="AI136" s="76">
        <v>24075</v>
      </c>
      <c r="AJ136" s="76">
        <v>3251</v>
      </c>
      <c r="AK136" s="76">
        <v>3</v>
      </c>
      <c r="AL136" s="76">
        <v>4451</v>
      </c>
      <c r="AM136" s="76" t="b">
        <v>0</v>
      </c>
      <c r="AN136" s="78">
        <v>40122.54068287037</v>
      </c>
      <c r="AO136" s="76" t="s">
        <v>1672</v>
      </c>
      <c r="AP136" s="76" t="s">
        <v>1870</v>
      </c>
      <c r="AQ136" s="82" t="str">
        <f>HYPERLINK("https://t.co/B75By8xZ7F")</f>
        <v>https://t.co/B75By8xZ7F</v>
      </c>
      <c r="AR136" s="82" t="str">
        <f>HYPERLINK("http://www.alexberenson.com")</f>
        <v>http://www.alexberenson.com</v>
      </c>
      <c r="AS136" s="76" t="s">
        <v>2012</v>
      </c>
      <c r="AT136" s="82" t="str">
        <f>HYPERLINK("https://t.co/ZWNQLVYt6l")</f>
        <v>https://t.co/ZWNQLVYt6l</v>
      </c>
      <c r="AU136" s="82" t="str">
        <f>HYPERLINK("http://alexberenson.substack.com")</f>
        <v>http://alexberenson.substack.com</v>
      </c>
      <c r="AV136" s="76" t="s">
        <v>2080</v>
      </c>
      <c r="AW136" s="76">
        <v>1.75197878782523E+18</v>
      </c>
      <c r="AX136" s="82" t="str">
        <f>HYPERLINK("https://t.co/B75By8xZ7F")</f>
        <v>https://t.co/B75By8xZ7F</v>
      </c>
      <c r="AY136" s="76" t="b">
        <v>1</v>
      </c>
      <c r="AZ136" s="76"/>
      <c r="BA136" s="76"/>
      <c r="BB136" s="76" t="b">
        <v>0</v>
      </c>
      <c r="BC136" s="76" t="b">
        <v>0</v>
      </c>
      <c r="BD136" s="76" t="b">
        <v>0</v>
      </c>
      <c r="BE136" s="76" t="b">
        <v>0</v>
      </c>
      <c r="BF136" s="76" t="b">
        <v>0</v>
      </c>
      <c r="BG136" s="76" t="b">
        <v>0</v>
      </c>
      <c r="BH136" s="76" t="b">
        <v>0</v>
      </c>
      <c r="BI136" s="82" t="str">
        <f>HYPERLINK("https://pbs.twimg.com/profile_banners/87679233/1626195516")</f>
        <v>https://pbs.twimg.com/profile_banners/87679233/1626195516</v>
      </c>
      <c r="BJ136" s="76"/>
      <c r="BK136" s="76" t="s">
        <v>2092</v>
      </c>
      <c r="BL136" s="76" t="b">
        <v>0</v>
      </c>
      <c r="BM136" s="76"/>
      <c r="BN136" s="76" t="s">
        <v>65</v>
      </c>
      <c r="BO136" s="76" t="s">
        <v>2094</v>
      </c>
      <c r="BP136" s="82" t="str">
        <f>HYPERLINK("https://twitter.com/alexberenson")</f>
        <v>https://twitter.com/alexberenson</v>
      </c>
      <c r="BQ136" s="76" t="str">
        <f>REPLACE(INDEX(GroupVertices[Group],MATCH("~"&amp;Vertices[[#This Row],[Vertex]],GroupVertices[Vertex],0)),1,1,"")</f>
        <v>4</v>
      </c>
      <c r="BR136" s="45"/>
      <c r="BS136" s="46"/>
      <c r="BT136" s="45"/>
      <c r="BU136" s="46"/>
      <c r="BV136" s="45"/>
      <c r="BW136" s="46"/>
      <c r="BX136" s="45"/>
      <c r="BY136" s="46"/>
      <c r="BZ136" s="45"/>
      <c r="CA136" s="45"/>
      <c r="CB136" s="45"/>
      <c r="CC136" s="45"/>
      <c r="CD136" s="45"/>
      <c r="CE136" s="45"/>
      <c r="CF136" s="45"/>
      <c r="CG136" s="45"/>
      <c r="CH136" s="45"/>
      <c r="CI136" s="45"/>
      <c r="CJ136" s="45"/>
      <c r="CK136" s="2"/>
    </row>
    <row r="137" spans="1:89" ht="41.45" customHeight="1">
      <c r="A137" s="61" t="s">
        <v>394</v>
      </c>
      <c r="C137" s="62"/>
      <c r="D137" s="62" t="s">
        <v>64</v>
      </c>
      <c r="E137" s="63">
        <v>70</v>
      </c>
      <c r="F137" s="65"/>
      <c r="G137" s="101" t="str">
        <f>HYPERLINK("https://pbs.twimg.com/profile_images/1174760522274791426/a_VtafJ7_normal.jpg")</f>
        <v>https://pbs.twimg.com/profile_images/1174760522274791426/a_VtafJ7_normal.jpg</v>
      </c>
      <c r="H137" s="62"/>
      <c r="I137" s="66" t="s">
        <v>394</v>
      </c>
      <c r="J137" s="67"/>
      <c r="K137" s="67" t="s">
        <v>75</v>
      </c>
      <c r="L137" s="66" t="s">
        <v>2221</v>
      </c>
      <c r="M137" s="70">
        <v>2000.6</v>
      </c>
      <c r="N137" s="71">
        <v>3211.6015625</v>
      </c>
      <c r="O137" s="71">
        <v>2747.16552734375</v>
      </c>
      <c r="P137" s="72"/>
      <c r="Q137" s="73"/>
      <c r="R137" s="73"/>
      <c r="S137" s="87"/>
      <c r="T137" s="45">
        <v>1</v>
      </c>
      <c r="U137" s="45">
        <v>0</v>
      </c>
      <c r="V137" s="46">
        <v>0</v>
      </c>
      <c r="W137" s="46">
        <v>0.015365</v>
      </c>
      <c r="X137" s="46">
        <v>0</v>
      </c>
      <c r="Y137" s="46">
        <v>0.004165</v>
      </c>
      <c r="Z137" s="46">
        <v>0</v>
      </c>
      <c r="AA137" s="46">
        <v>0</v>
      </c>
      <c r="AB137" s="68">
        <v>130</v>
      </c>
      <c r="AC137" s="68"/>
      <c r="AD137" s="69"/>
      <c r="AE137" s="76" t="s">
        <v>1454</v>
      </c>
      <c r="AF137" s="80" t="s">
        <v>1180</v>
      </c>
      <c r="AG137" s="76">
        <v>244</v>
      </c>
      <c r="AH137" s="76">
        <v>273</v>
      </c>
      <c r="AI137" s="76">
        <v>10870</v>
      </c>
      <c r="AJ137" s="76">
        <v>7</v>
      </c>
      <c r="AK137" s="76">
        <v>13821</v>
      </c>
      <c r="AL137" s="76">
        <v>960</v>
      </c>
      <c r="AM137" s="76" t="b">
        <v>0</v>
      </c>
      <c r="AN137" s="78">
        <v>43727.78991898148</v>
      </c>
      <c r="AO137" s="76" t="s">
        <v>1705</v>
      </c>
      <c r="AP137" s="76" t="s">
        <v>1871</v>
      </c>
      <c r="AQ137" s="82" t="str">
        <f>HYPERLINK("https://t.co/5QHzTyoPUa")</f>
        <v>https://t.co/5QHzTyoPUa</v>
      </c>
      <c r="AR137" s="82" t="str">
        <f>HYPERLINK("http://under-the-rainbow.no")</f>
        <v>http://under-the-rainbow.no</v>
      </c>
      <c r="AS137" s="76" t="s">
        <v>2013</v>
      </c>
      <c r="AT137" s="76"/>
      <c r="AU137" s="76"/>
      <c r="AV137" s="76"/>
      <c r="AW137" s="76"/>
      <c r="AX137" s="82" t="str">
        <f>HYPERLINK("https://t.co/5QHzTyoPUa")</f>
        <v>https://t.co/5QHzTyoPUa</v>
      </c>
      <c r="AY137" s="76" t="b">
        <v>0</v>
      </c>
      <c r="AZ137" s="76"/>
      <c r="BA137" s="76"/>
      <c r="BB137" s="76" t="b">
        <v>1</v>
      </c>
      <c r="BC137" s="76" t="b">
        <v>0</v>
      </c>
      <c r="BD137" s="76" t="b">
        <v>1</v>
      </c>
      <c r="BE137" s="76" t="b">
        <v>0</v>
      </c>
      <c r="BF137" s="76" t="b">
        <v>1</v>
      </c>
      <c r="BG137" s="76" t="b">
        <v>0</v>
      </c>
      <c r="BH137" s="76" t="b">
        <v>0</v>
      </c>
      <c r="BI137" s="82" t="str">
        <f>HYPERLINK("https://pbs.twimg.com/profile_banners/1174759376843878406/1658001455")</f>
        <v>https://pbs.twimg.com/profile_banners/1174759376843878406/1658001455</v>
      </c>
      <c r="BJ137" s="76"/>
      <c r="BK137" s="76" t="s">
        <v>2092</v>
      </c>
      <c r="BL137" s="76" t="b">
        <v>0</v>
      </c>
      <c r="BM137" s="76"/>
      <c r="BN137" s="76" t="s">
        <v>65</v>
      </c>
      <c r="BO137" s="76" t="s">
        <v>2094</v>
      </c>
      <c r="BP137" s="82" t="str">
        <f>HYPERLINK("https://twitter.com/mojocuba")</f>
        <v>https://twitter.com/mojocuba</v>
      </c>
      <c r="BQ137" s="76" t="str">
        <f>REPLACE(INDEX(GroupVertices[Group],MATCH("~"&amp;Vertices[[#This Row],[Vertex]],GroupVertices[Vertex],0)),1,1,"")</f>
        <v>4</v>
      </c>
      <c r="BR137" s="45"/>
      <c r="BS137" s="46"/>
      <c r="BT137" s="45"/>
      <c r="BU137" s="46"/>
      <c r="BV137" s="45"/>
      <c r="BW137" s="46"/>
      <c r="BX137" s="45"/>
      <c r="BY137" s="46"/>
      <c r="BZ137" s="45"/>
      <c r="CA137" s="45"/>
      <c r="CB137" s="45"/>
      <c r="CC137" s="45"/>
      <c r="CD137" s="45"/>
      <c r="CE137" s="45"/>
      <c r="CF137" s="45"/>
      <c r="CG137" s="45"/>
      <c r="CH137" s="45"/>
      <c r="CI137" s="45"/>
      <c r="CJ137" s="45"/>
      <c r="CK137" s="2"/>
    </row>
    <row r="138" spans="1:89" ht="41.45" customHeight="1">
      <c r="A138" s="61" t="s">
        <v>395</v>
      </c>
      <c r="C138" s="62"/>
      <c r="D138" s="62" t="s">
        <v>64</v>
      </c>
      <c r="E138" s="63">
        <v>70</v>
      </c>
      <c r="F138" s="65"/>
      <c r="G138" s="101" t="str">
        <f>HYPERLINK("https://pbs.twimg.com/profile_images/1239297379955867648/8l-Y3eZb_normal.jpg")</f>
        <v>https://pbs.twimg.com/profile_images/1239297379955867648/8l-Y3eZb_normal.jpg</v>
      </c>
      <c r="H138" s="62"/>
      <c r="I138" s="66" t="s">
        <v>395</v>
      </c>
      <c r="J138" s="67"/>
      <c r="K138" s="67" t="s">
        <v>75</v>
      </c>
      <c r="L138" s="66" t="s">
        <v>2222</v>
      </c>
      <c r="M138" s="70">
        <v>2000.6</v>
      </c>
      <c r="N138" s="71">
        <v>2653.855712890625</v>
      </c>
      <c r="O138" s="71">
        <v>2439.272216796875</v>
      </c>
      <c r="P138" s="72"/>
      <c r="Q138" s="73"/>
      <c r="R138" s="73"/>
      <c r="S138" s="87"/>
      <c r="T138" s="45">
        <v>1</v>
      </c>
      <c r="U138" s="45">
        <v>0</v>
      </c>
      <c r="V138" s="46">
        <v>0</v>
      </c>
      <c r="W138" s="46">
        <v>0.015365</v>
      </c>
      <c r="X138" s="46">
        <v>0</v>
      </c>
      <c r="Y138" s="46">
        <v>0.004165</v>
      </c>
      <c r="Z138" s="46">
        <v>0</v>
      </c>
      <c r="AA138" s="46">
        <v>0</v>
      </c>
      <c r="AB138" s="68">
        <v>131</v>
      </c>
      <c r="AC138" s="68"/>
      <c r="AD138" s="69"/>
      <c r="AE138" s="76" t="s">
        <v>1455</v>
      </c>
      <c r="AF138" s="80" t="s">
        <v>1603</v>
      </c>
      <c r="AG138" s="76">
        <v>6260</v>
      </c>
      <c r="AH138" s="76">
        <v>45</v>
      </c>
      <c r="AI138" s="76">
        <v>449</v>
      </c>
      <c r="AJ138" s="76">
        <v>77</v>
      </c>
      <c r="AK138" s="76">
        <v>483</v>
      </c>
      <c r="AL138" s="76">
        <v>45</v>
      </c>
      <c r="AM138" s="76" t="b">
        <v>0</v>
      </c>
      <c r="AN138" s="78">
        <v>42187.62474537037</v>
      </c>
      <c r="AO138" s="76" t="s">
        <v>1706</v>
      </c>
      <c r="AP138" s="76" t="s">
        <v>1872</v>
      </c>
      <c r="AQ138" s="76"/>
      <c r="AR138" s="76"/>
      <c r="AS138" s="76"/>
      <c r="AT138" s="76"/>
      <c r="AU138" s="76"/>
      <c r="AV138" s="76"/>
      <c r="AW138" s="76"/>
      <c r="AX138" s="76"/>
      <c r="AY138" s="76" t="b">
        <v>0</v>
      </c>
      <c r="AZ138" s="76"/>
      <c r="BA138" s="76"/>
      <c r="BB138" s="76" t="b">
        <v>0</v>
      </c>
      <c r="BC138" s="76" t="b">
        <v>1</v>
      </c>
      <c r="BD138" s="76" t="b">
        <v>1</v>
      </c>
      <c r="BE138" s="76" t="b">
        <v>0</v>
      </c>
      <c r="BF138" s="76" t="b">
        <v>1</v>
      </c>
      <c r="BG138" s="76" t="b">
        <v>0</v>
      </c>
      <c r="BH138" s="76" t="b">
        <v>0</v>
      </c>
      <c r="BI138" s="76"/>
      <c r="BJ138" s="76"/>
      <c r="BK138" s="76" t="s">
        <v>2092</v>
      </c>
      <c r="BL138" s="76" t="b">
        <v>0</v>
      </c>
      <c r="BM138" s="76"/>
      <c r="BN138" s="76" t="s">
        <v>65</v>
      </c>
      <c r="BO138" s="76" t="s">
        <v>2094</v>
      </c>
      <c r="BP138" s="82" t="str">
        <f>HYPERLINK("https://twitter.com/robin_shattock")</f>
        <v>https://twitter.com/robin_shattock</v>
      </c>
      <c r="BQ138" s="76" t="str">
        <f>REPLACE(INDEX(GroupVertices[Group],MATCH("~"&amp;Vertices[[#This Row],[Vertex]],GroupVertices[Vertex],0)),1,1,"")</f>
        <v>4</v>
      </c>
      <c r="BR138" s="45"/>
      <c r="BS138" s="46"/>
      <c r="BT138" s="45"/>
      <c r="BU138" s="46"/>
      <c r="BV138" s="45"/>
      <c r="BW138" s="46"/>
      <c r="BX138" s="45"/>
      <c r="BY138" s="46"/>
      <c r="BZ138" s="45"/>
      <c r="CA138" s="45"/>
      <c r="CB138" s="45"/>
      <c r="CC138" s="45"/>
      <c r="CD138" s="45"/>
      <c r="CE138" s="45"/>
      <c r="CF138" s="45"/>
      <c r="CG138" s="45"/>
      <c r="CH138" s="45"/>
      <c r="CI138" s="45"/>
      <c r="CJ138" s="45"/>
      <c r="CK138" s="2"/>
    </row>
    <row r="139" spans="1:89" ht="41.45" customHeight="1">
      <c r="A139" s="61" t="s">
        <v>396</v>
      </c>
      <c r="C139" s="62"/>
      <c r="D139" s="62" t="s">
        <v>64</v>
      </c>
      <c r="E139" s="63">
        <v>70</v>
      </c>
      <c r="F139" s="65"/>
      <c r="G139" s="101" t="str">
        <f>HYPERLINK("https://pbs.twimg.com/profile_images/1684664097844178945/w5aocPHO_normal.jpg")</f>
        <v>https://pbs.twimg.com/profile_images/1684664097844178945/w5aocPHO_normal.jpg</v>
      </c>
      <c r="H139" s="62"/>
      <c r="I139" s="66" t="s">
        <v>396</v>
      </c>
      <c r="J139" s="67"/>
      <c r="K139" s="67" t="s">
        <v>75</v>
      </c>
      <c r="L139" s="66" t="s">
        <v>2223</v>
      </c>
      <c r="M139" s="70">
        <v>2000.6</v>
      </c>
      <c r="N139" s="71">
        <v>3384.194091796875</v>
      </c>
      <c r="O139" s="71">
        <v>4112.95654296875</v>
      </c>
      <c r="P139" s="72"/>
      <c r="Q139" s="73"/>
      <c r="R139" s="73"/>
      <c r="S139" s="87"/>
      <c r="T139" s="45">
        <v>1</v>
      </c>
      <c r="U139" s="45">
        <v>0</v>
      </c>
      <c r="V139" s="46">
        <v>0</v>
      </c>
      <c r="W139" s="46">
        <v>0.015365</v>
      </c>
      <c r="X139" s="46">
        <v>0</v>
      </c>
      <c r="Y139" s="46">
        <v>0.004165</v>
      </c>
      <c r="Z139" s="46">
        <v>0</v>
      </c>
      <c r="AA139" s="46">
        <v>0</v>
      </c>
      <c r="AB139" s="68">
        <v>132</v>
      </c>
      <c r="AC139" s="68"/>
      <c r="AD139" s="69"/>
      <c r="AE139" s="76" t="s">
        <v>1456</v>
      </c>
      <c r="AF139" s="80" t="s">
        <v>1181</v>
      </c>
      <c r="AG139" s="76">
        <v>461488</v>
      </c>
      <c r="AH139" s="76">
        <v>407</v>
      </c>
      <c r="AI139" s="76">
        <v>17727</v>
      </c>
      <c r="AJ139" s="76">
        <v>2091</v>
      </c>
      <c r="AK139" s="76">
        <v>11233</v>
      </c>
      <c r="AL139" s="76">
        <v>1435</v>
      </c>
      <c r="AM139" s="76" t="b">
        <v>0</v>
      </c>
      <c r="AN139" s="78">
        <v>39936.84553240741</v>
      </c>
      <c r="AO139" s="76" t="s">
        <v>1707</v>
      </c>
      <c r="AP139" s="76" t="s">
        <v>1873</v>
      </c>
      <c r="AQ139" s="82" t="str">
        <f>HYPERLINK("https://t.co/KcIbPkSJ1T")</f>
        <v>https://t.co/KcIbPkSJ1T</v>
      </c>
      <c r="AR139" s="82" t="str">
        <f>HYPERLINK("https://stevekirsch.substack.com")</f>
        <v>https://stevekirsch.substack.com</v>
      </c>
      <c r="AS139" s="76" t="s">
        <v>2014</v>
      </c>
      <c r="AT139" s="76"/>
      <c r="AU139" s="76"/>
      <c r="AV139" s="76"/>
      <c r="AW139" s="76">
        <v>1.63368258565324E+18</v>
      </c>
      <c r="AX139" s="82" t="str">
        <f>HYPERLINK("https://t.co/KcIbPkSJ1T")</f>
        <v>https://t.co/KcIbPkSJ1T</v>
      </c>
      <c r="AY139" s="76" t="b">
        <v>1</v>
      </c>
      <c r="AZ139" s="76"/>
      <c r="BA139" s="76"/>
      <c r="BB139" s="76" t="b">
        <v>1</v>
      </c>
      <c r="BC139" s="76" t="b">
        <v>1</v>
      </c>
      <c r="BD139" s="76" t="b">
        <v>1</v>
      </c>
      <c r="BE139" s="76" t="b">
        <v>0</v>
      </c>
      <c r="BF139" s="76" t="b">
        <v>1</v>
      </c>
      <c r="BG139" s="76" t="b">
        <v>0</v>
      </c>
      <c r="BH139" s="76" t="b">
        <v>0</v>
      </c>
      <c r="BI139" s="82" t="str">
        <f>HYPERLINK("https://pbs.twimg.com/profile_banners/37491797/1690490467")</f>
        <v>https://pbs.twimg.com/profile_banners/37491797/1690490467</v>
      </c>
      <c r="BJ139" s="76"/>
      <c r="BK139" s="76" t="s">
        <v>2092</v>
      </c>
      <c r="BL139" s="76" t="b">
        <v>0</v>
      </c>
      <c r="BM139" s="76"/>
      <c r="BN139" s="76" t="s">
        <v>65</v>
      </c>
      <c r="BO139" s="76" t="s">
        <v>2094</v>
      </c>
      <c r="BP139" s="82" t="str">
        <f>HYPERLINK("https://twitter.com/stkirsch")</f>
        <v>https://twitter.com/stkirsch</v>
      </c>
      <c r="BQ139" s="76" t="str">
        <f>REPLACE(INDEX(GroupVertices[Group],MATCH("~"&amp;Vertices[[#This Row],[Vertex]],GroupVertices[Vertex],0)),1,1,"")</f>
        <v>4</v>
      </c>
      <c r="BR139" s="45"/>
      <c r="BS139" s="46"/>
      <c r="BT139" s="45"/>
      <c r="BU139" s="46"/>
      <c r="BV139" s="45"/>
      <c r="BW139" s="46"/>
      <c r="BX139" s="45"/>
      <c r="BY139" s="46"/>
      <c r="BZ139" s="45"/>
      <c r="CA139" s="45"/>
      <c r="CB139" s="45"/>
      <c r="CC139" s="45"/>
      <c r="CD139" s="45"/>
      <c r="CE139" s="45"/>
      <c r="CF139" s="45"/>
      <c r="CG139" s="45"/>
      <c r="CH139" s="45"/>
      <c r="CI139" s="45"/>
      <c r="CJ139" s="45"/>
      <c r="CK139" s="2"/>
    </row>
    <row r="140" spans="1:89" ht="41.45" customHeight="1">
      <c r="A140" s="61" t="s">
        <v>397</v>
      </c>
      <c r="C140" s="62"/>
      <c r="D140" s="62" t="s">
        <v>64</v>
      </c>
      <c r="E140" s="63">
        <v>70</v>
      </c>
      <c r="F140" s="65"/>
      <c r="G140" s="101" t="str">
        <f>HYPERLINK("https://pbs.twimg.com/profile_images/1719547166593556480/QB7xpxi3_normal.jpg")</f>
        <v>https://pbs.twimg.com/profile_images/1719547166593556480/QB7xpxi3_normal.jpg</v>
      </c>
      <c r="H140" s="62"/>
      <c r="I140" s="66" t="s">
        <v>397</v>
      </c>
      <c r="J140" s="67"/>
      <c r="K140" s="67" t="s">
        <v>75</v>
      </c>
      <c r="L140" s="66" t="s">
        <v>2224</v>
      </c>
      <c r="M140" s="70">
        <v>2000.6</v>
      </c>
      <c r="N140" s="71">
        <v>2268.703369140625</v>
      </c>
      <c r="O140" s="71">
        <v>3497.169677734375</v>
      </c>
      <c r="P140" s="72"/>
      <c r="Q140" s="73"/>
      <c r="R140" s="73"/>
      <c r="S140" s="87"/>
      <c r="T140" s="45">
        <v>1</v>
      </c>
      <c r="U140" s="45">
        <v>0</v>
      </c>
      <c r="V140" s="46">
        <v>0</v>
      </c>
      <c r="W140" s="46">
        <v>0.015365</v>
      </c>
      <c r="X140" s="46">
        <v>0</v>
      </c>
      <c r="Y140" s="46">
        <v>0.004165</v>
      </c>
      <c r="Z140" s="46">
        <v>0</v>
      </c>
      <c r="AA140" s="46">
        <v>0</v>
      </c>
      <c r="AB140" s="68">
        <v>133</v>
      </c>
      <c r="AC140" s="68"/>
      <c r="AD140" s="69"/>
      <c r="AE140" s="76" t="s">
        <v>1457</v>
      </c>
      <c r="AF140" s="80" t="s">
        <v>1182</v>
      </c>
      <c r="AG140" s="76">
        <v>124146</v>
      </c>
      <c r="AH140" s="76">
        <v>969</v>
      </c>
      <c r="AI140" s="76">
        <v>15914</v>
      </c>
      <c r="AJ140" s="76">
        <v>932</v>
      </c>
      <c r="AK140" s="76">
        <v>101538</v>
      </c>
      <c r="AL140" s="76">
        <v>1598</v>
      </c>
      <c r="AM140" s="76" t="b">
        <v>0</v>
      </c>
      <c r="AN140" s="78">
        <v>41270.15609953704</v>
      </c>
      <c r="AO140" s="76"/>
      <c r="AP140" s="76" t="s">
        <v>1874</v>
      </c>
      <c r="AQ140" s="82" t="str">
        <f>HYPERLINK("https://t.co/LHGlHwvf5X")</f>
        <v>https://t.co/LHGlHwvf5X</v>
      </c>
      <c r="AR140" s="82" t="str">
        <f>HYPERLINK("http://kevinbass.substack.com")</f>
        <v>http://kevinbass.substack.com</v>
      </c>
      <c r="AS140" s="76" t="s">
        <v>2015</v>
      </c>
      <c r="AT140" s="76"/>
      <c r="AU140" s="76"/>
      <c r="AV140" s="76"/>
      <c r="AW140" s="76">
        <v>1.60250238640007E+18</v>
      </c>
      <c r="AX140" s="82" t="str">
        <f>HYPERLINK("https://t.co/LHGlHwvf5X")</f>
        <v>https://t.co/LHGlHwvf5X</v>
      </c>
      <c r="AY140" s="76" t="b">
        <v>1</v>
      </c>
      <c r="AZ140" s="76"/>
      <c r="BA140" s="76"/>
      <c r="BB140" s="76" t="b">
        <v>1</v>
      </c>
      <c r="BC140" s="76" t="b">
        <v>0</v>
      </c>
      <c r="BD140" s="76" t="b">
        <v>0</v>
      </c>
      <c r="BE140" s="76" t="b">
        <v>0</v>
      </c>
      <c r="BF140" s="76" t="b">
        <v>1</v>
      </c>
      <c r="BG140" s="76" t="b">
        <v>0</v>
      </c>
      <c r="BH140" s="76" t="b">
        <v>0</v>
      </c>
      <c r="BI140" s="82" t="str">
        <f>HYPERLINK("https://pbs.twimg.com/profile_banners/1038726722/1701013651")</f>
        <v>https://pbs.twimg.com/profile_banners/1038726722/1701013651</v>
      </c>
      <c r="BJ140" s="76"/>
      <c r="BK140" s="76" t="s">
        <v>2092</v>
      </c>
      <c r="BL140" s="76" t="b">
        <v>0</v>
      </c>
      <c r="BM140" s="76"/>
      <c r="BN140" s="76" t="s">
        <v>65</v>
      </c>
      <c r="BO140" s="76" t="s">
        <v>2094</v>
      </c>
      <c r="BP140" s="82" t="str">
        <f>HYPERLINK("https://twitter.com/kevinnbass")</f>
        <v>https://twitter.com/kevinnbass</v>
      </c>
      <c r="BQ140" s="76" t="str">
        <f>REPLACE(INDEX(GroupVertices[Group],MATCH("~"&amp;Vertices[[#This Row],[Vertex]],GroupVertices[Vertex],0)),1,1,"")</f>
        <v>4</v>
      </c>
      <c r="BR140" s="45"/>
      <c r="BS140" s="46"/>
      <c r="BT140" s="45"/>
      <c r="BU140" s="46"/>
      <c r="BV140" s="45"/>
      <c r="BW140" s="46"/>
      <c r="BX140" s="45"/>
      <c r="BY140" s="46"/>
      <c r="BZ140" s="45"/>
      <c r="CA140" s="45"/>
      <c r="CB140" s="45"/>
      <c r="CC140" s="45"/>
      <c r="CD140" s="45"/>
      <c r="CE140" s="45"/>
      <c r="CF140" s="45"/>
      <c r="CG140" s="45"/>
      <c r="CH140" s="45"/>
      <c r="CI140" s="45"/>
      <c r="CJ140" s="45"/>
      <c r="CK140" s="2"/>
    </row>
    <row r="141" spans="1:89" ht="41.45" customHeight="1">
      <c r="A141" s="61" t="s">
        <v>289</v>
      </c>
      <c r="C141" s="62"/>
      <c r="D141" s="62" t="s">
        <v>64</v>
      </c>
      <c r="E141" s="63">
        <v>70</v>
      </c>
      <c r="F141" s="65"/>
      <c r="G141" s="101" t="str">
        <f>HYPERLINK("https://pbs.twimg.com/profile_images/1739011712597041152/YNrY4Ic5_normal.jpg")</f>
        <v>https://pbs.twimg.com/profile_images/1739011712597041152/YNrY4Ic5_normal.jpg</v>
      </c>
      <c r="H141" s="62"/>
      <c r="I141" s="66" t="s">
        <v>289</v>
      </c>
      <c r="J141" s="67"/>
      <c r="K141" s="67" t="s">
        <v>75</v>
      </c>
      <c r="L141" s="66" t="s">
        <v>2225</v>
      </c>
      <c r="M141" s="70">
        <v>4000.2</v>
      </c>
      <c r="N141" s="71">
        <v>9652.7666015625</v>
      </c>
      <c r="O141" s="71">
        <v>3117.127685546875</v>
      </c>
      <c r="P141" s="72"/>
      <c r="Q141" s="73"/>
      <c r="R141" s="73"/>
      <c r="S141" s="87"/>
      <c r="T141" s="45">
        <v>2</v>
      </c>
      <c r="U141" s="45">
        <v>1</v>
      </c>
      <c r="V141" s="46">
        <v>0</v>
      </c>
      <c r="W141" s="46">
        <v>0.004695</v>
      </c>
      <c r="X141" s="46">
        <v>0</v>
      </c>
      <c r="Y141" s="46">
        <v>0.004999</v>
      </c>
      <c r="Z141" s="46">
        <v>0</v>
      </c>
      <c r="AA141" s="46">
        <v>0</v>
      </c>
      <c r="AB141" s="68">
        <v>134</v>
      </c>
      <c r="AC141" s="68"/>
      <c r="AD141" s="69"/>
      <c r="AE141" s="76" t="s">
        <v>1458</v>
      </c>
      <c r="AF141" s="80" t="s">
        <v>1267</v>
      </c>
      <c r="AG141" s="76">
        <v>2131</v>
      </c>
      <c r="AH141" s="76">
        <v>1819</v>
      </c>
      <c r="AI141" s="76">
        <v>5018</v>
      </c>
      <c r="AJ141" s="76">
        <v>5</v>
      </c>
      <c r="AK141" s="76">
        <v>2446</v>
      </c>
      <c r="AL141" s="76">
        <v>1091</v>
      </c>
      <c r="AM141" s="76" t="b">
        <v>0</v>
      </c>
      <c r="AN141" s="78">
        <v>45219.95486111111</v>
      </c>
      <c r="AO141" s="76" t="s">
        <v>849</v>
      </c>
      <c r="AP141" s="76" t="s">
        <v>1875</v>
      </c>
      <c r="AQ141" s="76"/>
      <c r="AR141" s="76"/>
      <c r="AS141" s="76"/>
      <c r="AT141" s="76"/>
      <c r="AU141" s="76"/>
      <c r="AV141" s="76"/>
      <c r="AW141" s="76">
        <v>1.74119780826105E+18</v>
      </c>
      <c r="AX141" s="76"/>
      <c r="AY141" s="76" t="b">
        <v>0</v>
      </c>
      <c r="AZ141" s="76"/>
      <c r="BA141" s="76"/>
      <c r="BB141" s="76" t="b">
        <v>1</v>
      </c>
      <c r="BC141" s="76" t="b">
        <v>1</v>
      </c>
      <c r="BD141" s="76" t="b">
        <v>1</v>
      </c>
      <c r="BE141" s="76" t="b">
        <v>0</v>
      </c>
      <c r="BF141" s="76" t="b">
        <v>0</v>
      </c>
      <c r="BG141" s="76" t="b">
        <v>0</v>
      </c>
      <c r="BH141" s="76" t="b">
        <v>0</v>
      </c>
      <c r="BI141" s="82" t="str">
        <f>HYPERLINK("https://pbs.twimg.com/profile_banners/1715501665988538368/1703956109")</f>
        <v>https://pbs.twimg.com/profile_banners/1715501665988538368/1703956109</v>
      </c>
      <c r="BJ141" s="76"/>
      <c r="BK141" s="76" t="s">
        <v>2092</v>
      </c>
      <c r="BL141" s="76" t="b">
        <v>0</v>
      </c>
      <c r="BM141" s="76"/>
      <c r="BN141" s="76" t="s">
        <v>66</v>
      </c>
      <c r="BO141" s="76" t="s">
        <v>2094</v>
      </c>
      <c r="BP141" s="82" t="str">
        <f>HYPERLINK("https://twitter.com/mordechaiklompa")</f>
        <v>https://twitter.com/mordechaiklompa</v>
      </c>
      <c r="BQ141" s="76" t="str">
        <f>REPLACE(INDEX(GroupVertices[Group],MATCH("~"&amp;Vertices[[#This Row],[Vertex]],GroupVertices[Vertex],0)),1,1,"")</f>
        <v>43</v>
      </c>
      <c r="BR141" s="45">
        <v>0</v>
      </c>
      <c r="BS141" s="46">
        <v>0</v>
      </c>
      <c r="BT141" s="45">
        <v>2</v>
      </c>
      <c r="BU141" s="46">
        <v>4.545454545454546</v>
      </c>
      <c r="BV141" s="45">
        <v>0</v>
      </c>
      <c r="BW141" s="46">
        <v>0</v>
      </c>
      <c r="BX141" s="45">
        <v>18</v>
      </c>
      <c r="BY141" s="46">
        <v>40.90909090909091</v>
      </c>
      <c r="BZ141" s="45">
        <v>44</v>
      </c>
      <c r="CA141" s="45"/>
      <c r="CB141" s="45"/>
      <c r="CC141" s="45"/>
      <c r="CD141" s="45"/>
      <c r="CE141" s="45"/>
      <c r="CF141" s="45"/>
      <c r="CG141" s="114" t="s">
        <v>11352</v>
      </c>
      <c r="CH141" s="114" t="s">
        <v>11352</v>
      </c>
      <c r="CI141" s="114" t="s">
        <v>11481</v>
      </c>
      <c r="CJ141" s="114" t="s">
        <v>11481</v>
      </c>
      <c r="CK141" s="2"/>
    </row>
    <row r="142" spans="1:89" ht="41.45" customHeight="1">
      <c r="A142" s="61" t="s">
        <v>290</v>
      </c>
      <c r="C142" s="62"/>
      <c r="D142" s="62" t="s">
        <v>64</v>
      </c>
      <c r="E142" s="63">
        <v>70</v>
      </c>
      <c r="F142" s="65"/>
      <c r="G142" s="101" t="str">
        <f>HYPERLINK("https://pbs.twimg.com/profile_images/1713973080492752896/IxjB2O_G_normal.jpg")</f>
        <v>https://pbs.twimg.com/profile_images/1713973080492752896/IxjB2O_G_normal.jpg</v>
      </c>
      <c r="H142" s="62"/>
      <c r="I142" s="66" t="s">
        <v>290</v>
      </c>
      <c r="J142" s="67"/>
      <c r="K142" s="67" t="s">
        <v>75</v>
      </c>
      <c r="L142" s="66" t="s">
        <v>2226</v>
      </c>
      <c r="M142" s="70">
        <v>1</v>
      </c>
      <c r="N142" s="71">
        <v>9652.7666015625</v>
      </c>
      <c r="O142" s="71">
        <v>3777.343994140625</v>
      </c>
      <c r="P142" s="72"/>
      <c r="Q142" s="73"/>
      <c r="R142" s="73"/>
      <c r="S142" s="87"/>
      <c r="T142" s="45">
        <v>0</v>
      </c>
      <c r="U142" s="45">
        <v>1</v>
      </c>
      <c r="V142" s="46">
        <v>0</v>
      </c>
      <c r="W142" s="46">
        <v>0.004695</v>
      </c>
      <c r="X142" s="46">
        <v>0</v>
      </c>
      <c r="Y142" s="46">
        <v>0.004347</v>
      </c>
      <c r="Z142" s="46">
        <v>0</v>
      </c>
      <c r="AA142" s="46">
        <v>0</v>
      </c>
      <c r="AB142" s="68">
        <v>135</v>
      </c>
      <c r="AC142" s="68"/>
      <c r="AD142" s="69"/>
      <c r="AE142" s="76" t="s">
        <v>1459</v>
      </c>
      <c r="AF142" s="80" t="s">
        <v>1604</v>
      </c>
      <c r="AG142" s="76">
        <v>890</v>
      </c>
      <c r="AH142" s="76">
        <v>2345</v>
      </c>
      <c r="AI142" s="76">
        <v>74078</v>
      </c>
      <c r="AJ142" s="76">
        <v>30</v>
      </c>
      <c r="AK142" s="76">
        <v>82278</v>
      </c>
      <c r="AL142" s="76">
        <v>6729</v>
      </c>
      <c r="AM142" s="76" t="b">
        <v>0</v>
      </c>
      <c r="AN142" s="78">
        <v>40413.192719907405</v>
      </c>
      <c r="AO142" s="76" t="s">
        <v>852</v>
      </c>
      <c r="AP142" s="76" t="s">
        <v>1876</v>
      </c>
      <c r="AQ142" s="82" t="str">
        <f>HYPERLINK("https://t.co/WmHJbo3OVE")</f>
        <v>https://t.co/WmHJbo3OVE</v>
      </c>
      <c r="AR142" s="82" t="str">
        <f>HYPERLINK("https://syringav.itch.io/")</f>
        <v>https://syringav.itch.io/</v>
      </c>
      <c r="AS142" s="76" t="s">
        <v>2016</v>
      </c>
      <c r="AT142" s="82" t="str">
        <f>HYPERLINK("https://t.co/ZehhAino2C")</f>
        <v>https://t.co/ZehhAino2C</v>
      </c>
      <c r="AU142" s="82" t="str">
        <f>HYPERLINK("http://syrivulgar.bsky.social")</f>
        <v>http://syrivulgar.bsky.social</v>
      </c>
      <c r="AV142" s="76" t="s">
        <v>1459</v>
      </c>
      <c r="AW142" s="76">
        <v>1.50390036659681E+18</v>
      </c>
      <c r="AX142" s="82" t="str">
        <f>HYPERLINK("https://t.co/WmHJbo3OVE")</f>
        <v>https://t.co/WmHJbo3OVE</v>
      </c>
      <c r="AY142" s="76" t="b">
        <v>0</v>
      </c>
      <c r="AZ142" s="76"/>
      <c r="BA142" s="76"/>
      <c r="BB142" s="76" t="b">
        <v>1</v>
      </c>
      <c r="BC142" s="76" t="b">
        <v>0</v>
      </c>
      <c r="BD142" s="76" t="b">
        <v>0</v>
      </c>
      <c r="BE142" s="76" t="b">
        <v>0</v>
      </c>
      <c r="BF142" s="76" t="b">
        <v>1</v>
      </c>
      <c r="BG142" s="76" t="b">
        <v>0</v>
      </c>
      <c r="BH142" s="76" t="b">
        <v>0</v>
      </c>
      <c r="BI142" s="82" t="str">
        <f>HYPERLINK("https://pbs.twimg.com/profile_banners/181832906/1684170220")</f>
        <v>https://pbs.twimg.com/profile_banners/181832906/1684170220</v>
      </c>
      <c r="BJ142" s="76"/>
      <c r="BK142" s="76" t="s">
        <v>2092</v>
      </c>
      <c r="BL142" s="76" t="b">
        <v>0</v>
      </c>
      <c r="BM142" s="76"/>
      <c r="BN142" s="76" t="s">
        <v>66</v>
      </c>
      <c r="BO142" s="76" t="s">
        <v>2094</v>
      </c>
      <c r="BP142" s="82" t="str">
        <f>HYPERLINK("https://twitter.com/gentlypress")</f>
        <v>https://twitter.com/gentlypress</v>
      </c>
      <c r="BQ142" s="76" t="str">
        <f>REPLACE(INDEX(GroupVertices[Group],MATCH("~"&amp;Vertices[[#This Row],[Vertex]],GroupVertices[Vertex],0)),1,1,"")</f>
        <v>43</v>
      </c>
      <c r="BR142" s="45">
        <v>0</v>
      </c>
      <c r="BS142" s="46">
        <v>0</v>
      </c>
      <c r="BT142" s="45">
        <v>4</v>
      </c>
      <c r="BU142" s="46">
        <v>13.333333333333334</v>
      </c>
      <c r="BV142" s="45">
        <v>0</v>
      </c>
      <c r="BW142" s="46">
        <v>0</v>
      </c>
      <c r="BX142" s="45">
        <v>15</v>
      </c>
      <c r="BY142" s="46">
        <v>50</v>
      </c>
      <c r="BZ142" s="45">
        <v>30</v>
      </c>
      <c r="CA142" s="45"/>
      <c r="CB142" s="45"/>
      <c r="CC142" s="45"/>
      <c r="CD142" s="45"/>
      <c r="CE142" s="45" t="s">
        <v>590</v>
      </c>
      <c r="CF142" s="45" t="s">
        <v>590</v>
      </c>
      <c r="CG142" s="114" t="s">
        <v>11353</v>
      </c>
      <c r="CH142" s="114" t="s">
        <v>11353</v>
      </c>
      <c r="CI142" s="114" t="s">
        <v>11482</v>
      </c>
      <c r="CJ142" s="114" t="s">
        <v>11482</v>
      </c>
      <c r="CK142" s="2"/>
    </row>
    <row r="143" spans="1:89" ht="41.45" customHeight="1">
      <c r="A143" s="61" t="s">
        <v>398</v>
      </c>
      <c r="C143" s="62"/>
      <c r="D143" s="62" t="s">
        <v>64</v>
      </c>
      <c r="E143" s="63">
        <v>70</v>
      </c>
      <c r="F143" s="65"/>
      <c r="G143" s="101" t="str">
        <f>HYPERLINK("https://pbs.twimg.com/profile_images/1726367546234826752/hokLswMr_normal.jpg")</f>
        <v>https://pbs.twimg.com/profile_images/1726367546234826752/hokLswMr_normal.jpg</v>
      </c>
      <c r="H143" s="62"/>
      <c r="I143" s="66" t="s">
        <v>398</v>
      </c>
      <c r="J143" s="67"/>
      <c r="K143" s="67" t="s">
        <v>75</v>
      </c>
      <c r="L143" s="66" t="s">
        <v>2228</v>
      </c>
      <c r="M143" s="70">
        <v>2000.6</v>
      </c>
      <c r="N143" s="71">
        <v>3908.79833984375</v>
      </c>
      <c r="O143" s="71">
        <v>7403.49365234375</v>
      </c>
      <c r="P143" s="72"/>
      <c r="Q143" s="73"/>
      <c r="R143" s="73"/>
      <c r="S143" s="87"/>
      <c r="T143" s="45">
        <v>1</v>
      </c>
      <c r="U143" s="45">
        <v>0</v>
      </c>
      <c r="V143" s="46">
        <v>0</v>
      </c>
      <c r="W143" s="46">
        <v>0.013041</v>
      </c>
      <c r="X143" s="46">
        <v>0</v>
      </c>
      <c r="Y143" s="46">
        <v>0.004185</v>
      </c>
      <c r="Z143" s="46">
        <v>0</v>
      </c>
      <c r="AA143" s="46">
        <v>0</v>
      </c>
      <c r="AB143" s="68">
        <v>137</v>
      </c>
      <c r="AC143" s="68"/>
      <c r="AD143" s="69"/>
      <c r="AE143" s="76" t="s">
        <v>1461</v>
      </c>
      <c r="AF143" s="80" t="s">
        <v>1605</v>
      </c>
      <c r="AG143" s="76">
        <v>87</v>
      </c>
      <c r="AH143" s="76">
        <v>224</v>
      </c>
      <c r="AI143" s="76">
        <v>10074</v>
      </c>
      <c r="AJ143" s="76">
        <v>0</v>
      </c>
      <c r="AK143" s="76">
        <v>645</v>
      </c>
      <c r="AL143" s="76">
        <v>148</v>
      </c>
      <c r="AM143" s="76" t="b">
        <v>0</v>
      </c>
      <c r="AN143" s="78">
        <v>42616.891863425924</v>
      </c>
      <c r="AO143" s="76" t="s">
        <v>1708</v>
      </c>
      <c r="AP143" s="76" t="s">
        <v>1878</v>
      </c>
      <c r="AQ143" s="76"/>
      <c r="AR143" s="76"/>
      <c r="AS143" s="76"/>
      <c r="AT143" s="76"/>
      <c r="AU143" s="76"/>
      <c r="AV143" s="76"/>
      <c r="AW143" s="76"/>
      <c r="AX143" s="76"/>
      <c r="AY143" s="76" t="b">
        <v>0</v>
      </c>
      <c r="AZ143" s="76"/>
      <c r="BA143" s="76"/>
      <c r="BB143" s="76" t="b">
        <v>0</v>
      </c>
      <c r="BC143" s="76" t="b">
        <v>1</v>
      </c>
      <c r="BD143" s="76" t="b">
        <v>1</v>
      </c>
      <c r="BE143" s="76" t="b">
        <v>0</v>
      </c>
      <c r="BF143" s="76" t="b">
        <v>1</v>
      </c>
      <c r="BG143" s="76" t="b">
        <v>0</v>
      </c>
      <c r="BH143" s="76" t="b">
        <v>0</v>
      </c>
      <c r="BI143" s="82" t="str">
        <f>HYPERLINK("https://pbs.twimg.com/profile_banners/772183455329316864/1697745721")</f>
        <v>https://pbs.twimg.com/profile_banners/772183455329316864/1697745721</v>
      </c>
      <c r="BJ143" s="76"/>
      <c r="BK143" s="76" t="s">
        <v>2092</v>
      </c>
      <c r="BL143" s="76" t="b">
        <v>0</v>
      </c>
      <c r="BM143" s="76"/>
      <c r="BN143" s="76" t="s">
        <v>65</v>
      </c>
      <c r="BO143" s="76" t="s">
        <v>2094</v>
      </c>
      <c r="BP143" s="82" t="str">
        <f>HYPERLINK("https://twitter.com/trevor00988477")</f>
        <v>https://twitter.com/trevor00988477</v>
      </c>
      <c r="BQ143" s="76" t="str">
        <f>REPLACE(INDEX(GroupVertices[Group],MATCH("~"&amp;Vertices[[#This Row],[Vertex]],GroupVertices[Vertex],0)),1,1,"")</f>
        <v>5</v>
      </c>
      <c r="BR143" s="45"/>
      <c r="BS143" s="46"/>
      <c r="BT143" s="45"/>
      <c r="BU143" s="46"/>
      <c r="BV143" s="45"/>
      <c r="BW143" s="46"/>
      <c r="BX143" s="45"/>
      <c r="BY143" s="46"/>
      <c r="BZ143" s="45"/>
      <c r="CA143" s="45"/>
      <c r="CB143" s="45"/>
      <c r="CC143" s="45"/>
      <c r="CD143" s="45"/>
      <c r="CE143" s="45"/>
      <c r="CF143" s="45"/>
      <c r="CG143" s="45"/>
      <c r="CH143" s="45"/>
      <c r="CI143" s="45"/>
      <c r="CJ143" s="45"/>
      <c r="CK143" s="2"/>
    </row>
    <row r="144" spans="1:89" ht="41.45" customHeight="1">
      <c r="A144" s="61" t="s">
        <v>399</v>
      </c>
      <c r="C144" s="62"/>
      <c r="D144" s="62" t="s">
        <v>64</v>
      </c>
      <c r="E144" s="63">
        <v>70</v>
      </c>
      <c r="F144" s="65"/>
      <c r="G144" s="101" t="str">
        <f>HYPERLINK("https://pbs.twimg.com/profile_images/1733225525630435328/WS2KJ50k_normal.jpg")</f>
        <v>https://pbs.twimg.com/profile_images/1733225525630435328/WS2KJ50k_normal.jpg</v>
      </c>
      <c r="H144" s="62"/>
      <c r="I144" s="66" t="s">
        <v>399</v>
      </c>
      <c r="J144" s="67"/>
      <c r="K144" s="67" t="s">
        <v>75</v>
      </c>
      <c r="L144" s="66" t="s">
        <v>2229</v>
      </c>
      <c r="M144" s="70">
        <v>2000.6</v>
      </c>
      <c r="N144" s="71">
        <v>3411.13818359375</v>
      </c>
      <c r="O144" s="71">
        <v>8417.8974609375</v>
      </c>
      <c r="P144" s="72"/>
      <c r="Q144" s="73"/>
      <c r="R144" s="73"/>
      <c r="S144" s="87"/>
      <c r="T144" s="45">
        <v>1</v>
      </c>
      <c r="U144" s="45">
        <v>0</v>
      </c>
      <c r="V144" s="46">
        <v>0</v>
      </c>
      <c r="W144" s="46">
        <v>0.013041</v>
      </c>
      <c r="X144" s="46">
        <v>0</v>
      </c>
      <c r="Y144" s="46">
        <v>0.004185</v>
      </c>
      <c r="Z144" s="46">
        <v>0</v>
      </c>
      <c r="AA144" s="46">
        <v>0</v>
      </c>
      <c r="AB144" s="68">
        <v>138</v>
      </c>
      <c r="AC144" s="68"/>
      <c r="AD144" s="69"/>
      <c r="AE144" s="76" t="s">
        <v>1462</v>
      </c>
      <c r="AF144" s="80" t="s">
        <v>1606</v>
      </c>
      <c r="AG144" s="76">
        <v>267</v>
      </c>
      <c r="AH144" s="76">
        <v>210</v>
      </c>
      <c r="AI144" s="76">
        <v>37845</v>
      </c>
      <c r="AJ144" s="76">
        <v>0</v>
      </c>
      <c r="AK144" s="76">
        <v>15573</v>
      </c>
      <c r="AL144" s="76">
        <v>2151</v>
      </c>
      <c r="AM144" s="76" t="b">
        <v>0</v>
      </c>
      <c r="AN144" s="78">
        <v>44943.06793981481</v>
      </c>
      <c r="AO144" s="76"/>
      <c r="AP144" s="76" t="s">
        <v>1879</v>
      </c>
      <c r="AQ144" s="76"/>
      <c r="AR144" s="76"/>
      <c r="AS144" s="76"/>
      <c r="AT144" s="76"/>
      <c r="AU144" s="76"/>
      <c r="AV144" s="76"/>
      <c r="AW144" s="76">
        <v>1.7277941864836E+18</v>
      </c>
      <c r="AX144" s="76"/>
      <c r="AY144" s="76" t="b">
        <v>0</v>
      </c>
      <c r="AZ144" s="76"/>
      <c r="BA144" s="76"/>
      <c r="BB144" s="76" t="b">
        <v>0</v>
      </c>
      <c r="BC144" s="76" t="b">
        <v>1</v>
      </c>
      <c r="BD144" s="76" t="b">
        <v>1</v>
      </c>
      <c r="BE144" s="76" t="b">
        <v>0</v>
      </c>
      <c r="BF144" s="76" t="b">
        <v>1</v>
      </c>
      <c r="BG144" s="76" t="b">
        <v>0</v>
      </c>
      <c r="BH144" s="76" t="b">
        <v>0</v>
      </c>
      <c r="BI144" s="82" t="str">
        <f>HYPERLINK("https://pbs.twimg.com/profile_banners/1615161340552773638/1701902794")</f>
        <v>https://pbs.twimg.com/profile_banners/1615161340552773638/1701902794</v>
      </c>
      <c r="BJ144" s="76"/>
      <c r="BK144" s="76" t="s">
        <v>2092</v>
      </c>
      <c r="BL144" s="76" t="b">
        <v>0</v>
      </c>
      <c r="BM144" s="76"/>
      <c r="BN144" s="76" t="s">
        <v>65</v>
      </c>
      <c r="BO144" s="76" t="s">
        <v>2094</v>
      </c>
      <c r="BP144" s="82" t="str">
        <f>HYPERLINK("https://twitter.com/meechiejacobs")</f>
        <v>https://twitter.com/meechiejacobs</v>
      </c>
      <c r="BQ144" s="76" t="str">
        <f>REPLACE(INDEX(GroupVertices[Group],MATCH("~"&amp;Vertices[[#This Row],[Vertex]],GroupVertices[Vertex],0)),1,1,"")</f>
        <v>5</v>
      </c>
      <c r="BR144" s="45"/>
      <c r="BS144" s="46"/>
      <c r="BT144" s="45"/>
      <c r="BU144" s="46"/>
      <c r="BV144" s="45"/>
      <c r="BW144" s="46"/>
      <c r="BX144" s="45"/>
      <c r="BY144" s="46"/>
      <c r="BZ144" s="45"/>
      <c r="CA144" s="45"/>
      <c r="CB144" s="45"/>
      <c r="CC144" s="45"/>
      <c r="CD144" s="45"/>
      <c r="CE144" s="45"/>
      <c r="CF144" s="45"/>
      <c r="CG144" s="45"/>
      <c r="CH144" s="45"/>
      <c r="CI144" s="45"/>
      <c r="CJ144" s="45"/>
      <c r="CK144" s="2"/>
    </row>
    <row r="145" spans="1:89" ht="41.45" customHeight="1">
      <c r="A145" s="61" t="s">
        <v>400</v>
      </c>
      <c r="C145" s="62"/>
      <c r="D145" s="62" t="s">
        <v>64</v>
      </c>
      <c r="E145" s="63">
        <v>70</v>
      </c>
      <c r="F145" s="65"/>
      <c r="G145" s="101" t="str">
        <f>HYPERLINK("https://pbs.twimg.com/profile_images/1453027439517462541/Y0h_RrAC_normal.jpg")</f>
        <v>https://pbs.twimg.com/profile_images/1453027439517462541/Y0h_RrAC_normal.jpg</v>
      </c>
      <c r="H145" s="62"/>
      <c r="I145" s="66" t="s">
        <v>400</v>
      </c>
      <c r="J145" s="67"/>
      <c r="K145" s="67" t="s">
        <v>75</v>
      </c>
      <c r="L145" s="66" t="s">
        <v>2230</v>
      </c>
      <c r="M145" s="70">
        <v>2000.6</v>
      </c>
      <c r="N145" s="71">
        <v>3632.482177734375</v>
      </c>
      <c r="O145" s="71">
        <v>9948.6015625</v>
      </c>
      <c r="P145" s="72"/>
      <c r="Q145" s="73"/>
      <c r="R145" s="73"/>
      <c r="S145" s="87"/>
      <c r="T145" s="45">
        <v>1</v>
      </c>
      <c r="U145" s="45">
        <v>0</v>
      </c>
      <c r="V145" s="46">
        <v>0</v>
      </c>
      <c r="W145" s="46">
        <v>0.013041</v>
      </c>
      <c r="X145" s="46">
        <v>0</v>
      </c>
      <c r="Y145" s="46">
        <v>0.004185</v>
      </c>
      <c r="Z145" s="46">
        <v>0</v>
      </c>
      <c r="AA145" s="46">
        <v>0</v>
      </c>
      <c r="AB145" s="68">
        <v>139</v>
      </c>
      <c r="AC145" s="68"/>
      <c r="AD145" s="69"/>
      <c r="AE145" s="76" t="s">
        <v>1463</v>
      </c>
      <c r="AF145" s="80" t="s">
        <v>1607</v>
      </c>
      <c r="AG145" s="76">
        <v>222</v>
      </c>
      <c r="AH145" s="76">
        <v>82</v>
      </c>
      <c r="AI145" s="76">
        <v>16246</v>
      </c>
      <c r="AJ145" s="76">
        <v>4</v>
      </c>
      <c r="AK145" s="76">
        <v>5913</v>
      </c>
      <c r="AL145" s="76">
        <v>569</v>
      </c>
      <c r="AM145" s="76" t="b">
        <v>0</v>
      </c>
      <c r="AN145" s="78">
        <v>43873.863958333335</v>
      </c>
      <c r="AO145" s="76"/>
      <c r="AP145" s="76" t="s">
        <v>1880</v>
      </c>
      <c r="AQ145" s="76"/>
      <c r="AR145" s="76"/>
      <c r="AS145" s="76"/>
      <c r="AT145" s="76"/>
      <c r="AU145" s="76"/>
      <c r="AV145" s="76"/>
      <c r="AW145" s="76">
        <v>1.69893773651706E+18</v>
      </c>
      <c r="AX145" s="76"/>
      <c r="AY145" s="76" t="b">
        <v>0</v>
      </c>
      <c r="AZ145" s="76"/>
      <c r="BA145" s="76"/>
      <c r="BB145" s="76" t="b">
        <v>0</v>
      </c>
      <c r="BC145" s="76" t="b">
        <v>0</v>
      </c>
      <c r="BD145" s="76" t="b">
        <v>1</v>
      </c>
      <c r="BE145" s="76" t="b">
        <v>0</v>
      </c>
      <c r="BF145" s="76" t="b">
        <v>1</v>
      </c>
      <c r="BG145" s="76" t="b">
        <v>0</v>
      </c>
      <c r="BH145" s="76" t="b">
        <v>0</v>
      </c>
      <c r="BI145" s="82" t="str">
        <f>HYPERLINK("https://pbs.twimg.com/profile_banners/1227694846237954049/1581540982")</f>
        <v>https://pbs.twimg.com/profile_banners/1227694846237954049/1581540982</v>
      </c>
      <c r="BJ145" s="76"/>
      <c r="BK145" s="76" t="s">
        <v>2092</v>
      </c>
      <c r="BL145" s="76" t="b">
        <v>0</v>
      </c>
      <c r="BM145" s="76"/>
      <c r="BN145" s="76" t="s">
        <v>65</v>
      </c>
      <c r="BO145" s="76" t="s">
        <v>2094</v>
      </c>
      <c r="BP145" s="82" t="str">
        <f>HYPERLINK("https://twitter.com/babyesko3900")</f>
        <v>https://twitter.com/babyesko3900</v>
      </c>
      <c r="BQ145" s="76" t="str">
        <f>REPLACE(INDEX(GroupVertices[Group],MATCH("~"&amp;Vertices[[#This Row],[Vertex]],GroupVertices[Vertex],0)),1,1,"")</f>
        <v>5</v>
      </c>
      <c r="BR145" s="45"/>
      <c r="BS145" s="46"/>
      <c r="BT145" s="45"/>
      <c r="BU145" s="46"/>
      <c r="BV145" s="45"/>
      <c r="BW145" s="46"/>
      <c r="BX145" s="45"/>
      <c r="BY145" s="46"/>
      <c r="BZ145" s="45"/>
      <c r="CA145" s="45"/>
      <c r="CB145" s="45"/>
      <c r="CC145" s="45"/>
      <c r="CD145" s="45"/>
      <c r="CE145" s="45"/>
      <c r="CF145" s="45"/>
      <c r="CG145" s="45"/>
      <c r="CH145" s="45"/>
      <c r="CI145" s="45"/>
      <c r="CJ145" s="45"/>
      <c r="CK145" s="2"/>
    </row>
    <row r="146" spans="1:89" ht="41.45" customHeight="1">
      <c r="A146" s="61" t="s">
        <v>401</v>
      </c>
      <c r="C146" s="62"/>
      <c r="D146" s="62" t="s">
        <v>64</v>
      </c>
      <c r="E146" s="63">
        <v>70</v>
      </c>
      <c r="F146" s="65"/>
      <c r="G146" s="101" t="str">
        <f>HYPERLINK("https://pbs.twimg.com/profile_images/1310463813557391365/A9PAezYe_normal.jpg")</f>
        <v>https://pbs.twimg.com/profile_images/1310463813557391365/A9PAezYe_normal.jpg</v>
      </c>
      <c r="H146" s="62"/>
      <c r="I146" s="66" t="s">
        <v>401</v>
      </c>
      <c r="J146" s="67"/>
      <c r="K146" s="67" t="s">
        <v>75</v>
      </c>
      <c r="L146" s="66" t="s">
        <v>2231</v>
      </c>
      <c r="M146" s="70">
        <v>2000.6</v>
      </c>
      <c r="N146" s="71">
        <v>4437.712890625</v>
      </c>
      <c r="O146" s="71">
        <v>8307.263671875</v>
      </c>
      <c r="P146" s="72"/>
      <c r="Q146" s="73"/>
      <c r="R146" s="73"/>
      <c r="S146" s="87"/>
      <c r="T146" s="45">
        <v>1</v>
      </c>
      <c r="U146" s="45">
        <v>0</v>
      </c>
      <c r="V146" s="46">
        <v>0</v>
      </c>
      <c r="W146" s="46">
        <v>0.013041</v>
      </c>
      <c r="X146" s="46">
        <v>0</v>
      </c>
      <c r="Y146" s="46">
        <v>0.004185</v>
      </c>
      <c r="Z146" s="46">
        <v>0</v>
      </c>
      <c r="AA146" s="46">
        <v>0</v>
      </c>
      <c r="AB146" s="68">
        <v>140</v>
      </c>
      <c r="AC146" s="68"/>
      <c r="AD146" s="69"/>
      <c r="AE146" s="76" t="s">
        <v>1464</v>
      </c>
      <c r="AF146" s="80" t="s">
        <v>1608</v>
      </c>
      <c r="AG146" s="76">
        <v>3939</v>
      </c>
      <c r="AH146" s="76">
        <v>3559</v>
      </c>
      <c r="AI146" s="76">
        <v>420320</v>
      </c>
      <c r="AJ146" s="76">
        <v>52</v>
      </c>
      <c r="AK146" s="76">
        <v>891127</v>
      </c>
      <c r="AL146" s="76">
        <v>1210</v>
      </c>
      <c r="AM146" s="76" t="b">
        <v>0</v>
      </c>
      <c r="AN146" s="78">
        <v>41091.9062962963</v>
      </c>
      <c r="AO146" s="76" t="s">
        <v>1703</v>
      </c>
      <c r="AP146" s="76" t="s">
        <v>1881</v>
      </c>
      <c r="AQ146" s="76"/>
      <c r="AR146" s="76"/>
      <c r="AS146" s="76"/>
      <c r="AT146" s="76" t="s">
        <v>2059</v>
      </c>
      <c r="AU146" s="76" t="s">
        <v>2063</v>
      </c>
      <c r="AV146" s="76" t="s">
        <v>2081</v>
      </c>
      <c r="AW146" s="76">
        <v>1.34469024611034E+18</v>
      </c>
      <c r="AX146" s="76"/>
      <c r="AY146" s="76" t="b">
        <v>0</v>
      </c>
      <c r="AZ146" s="76"/>
      <c r="BA146" s="76"/>
      <c r="BB146" s="76" t="b">
        <v>0</v>
      </c>
      <c r="BC146" s="76" t="b">
        <v>0</v>
      </c>
      <c r="BD146" s="76" t="b">
        <v>1</v>
      </c>
      <c r="BE146" s="76" t="b">
        <v>0</v>
      </c>
      <c r="BF146" s="76" t="b">
        <v>1</v>
      </c>
      <c r="BG146" s="76" t="b">
        <v>0</v>
      </c>
      <c r="BH146" s="76" t="b">
        <v>1</v>
      </c>
      <c r="BI146" s="76"/>
      <c r="BJ146" s="76"/>
      <c r="BK146" s="76" t="s">
        <v>2092</v>
      </c>
      <c r="BL146" s="76" t="b">
        <v>0</v>
      </c>
      <c r="BM146" s="76"/>
      <c r="BN146" s="76" t="s">
        <v>65</v>
      </c>
      <c r="BO146" s="76" t="s">
        <v>2094</v>
      </c>
      <c r="BP146" s="82" t="str">
        <f>HYPERLINK("https://twitter.com/blakjordanbreen")</f>
        <v>https://twitter.com/blakjordanbreen</v>
      </c>
      <c r="BQ146" s="76" t="str">
        <f>REPLACE(INDEX(GroupVertices[Group],MATCH("~"&amp;Vertices[[#This Row],[Vertex]],GroupVertices[Vertex],0)),1,1,"")</f>
        <v>5</v>
      </c>
      <c r="BR146" s="45"/>
      <c r="BS146" s="46"/>
      <c r="BT146" s="45"/>
      <c r="BU146" s="46"/>
      <c r="BV146" s="45"/>
      <c r="BW146" s="46"/>
      <c r="BX146" s="45"/>
      <c r="BY146" s="46"/>
      <c r="BZ146" s="45"/>
      <c r="CA146" s="45"/>
      <c r="CB146" s="45"/>
      <c r="CC146" s="45"/>
      <c r="CD146" s="45"/>
      <c r="CE146" s="45"/>
      <c r="CF146" s="45"/>
      <c r="CG146" s="45"/>
      <c r="CH146" s="45"/>
      <c r="CI146" s="45"/>
      <c r="CJ146" s="45"/>
      <c r="CK146" s="2"/>
    </row>
    <row r="147" spans="1:89" ht="41.45" customHeight="1">
      <c r="A147" s="61" t="s">
        <v>402</v>
      </c>
      <c r="C147" s="62"/>
      <c r="D147" s="62" t="s">
        <v>64</v>
      </c>
      <c r="E147" s="63">
        <v>70</v>
      </c>
      <c r="F147" s="65"/>
      <c r="G147" s="101" t="str">
        <f>HYPERLINK("https://pbs.twimg.com/profile_images/1742548630827900928/akp4ores_normal.jpg")</f>
        <v>https://pbs.twimg.com/profile_images/1742548630827900928/akp4ores_normal.jpg</v>
      </c>
      <c r="H147" s="62"/>
      <c r="I147" s="66" t="s">
        <v>402</v>
      </c>
      <c r="J147" s="67"/>
      <c r="K147" s="67" t="s">
        <v>75</v>
      </c>
      <c r="L147" s="66" t="s">
        <v>2232</v>
      </c>
      <c r="M147" s="70">
        <v>2000.6</v>
      </c>
      <c r="N147" s="71">
        <v>4266.93994140625</v>
      </c>
      <c r="O147" s="71">
        <v>9880.2265625</v>
      </c>
      <c r="P147" s="72"/>
      <c r="Q147" s="73"/>
      <c r="R147" s="73"/>
      <c r="S147" s="87"/>
      <c r="T147" s="45">
        <v>1</v>
      </c>
      <c r="U147" s="45">
        <v>0</v>
      </c>
      <c r="V147" s="46">
        <v>0</v>
      </c>
      <c r="W147" s="46">
        <v>0.013041</v>
      </c>
      <c r="X147" s="46">
        <v>0</v>
      </c>
      <c r="Y147" s="46">
        <v>0.004185</v>
      </c>
      <c r="Z147" s="46">
        <v>0</v>
      </c>
      <c r="AA147" s="46">
        <v>0</v>
      </c>
      <c r="AB147" s="68">
        <v>141</v>
      </c>
      <c r="AC147" s="68"/>
      <c r="AD147" s="69"/>
      <c r="AE147" s="76" t="s">
        <v>1465</v>
      </c>
      <c r="AF147" s="80" t="s">
        <v>1183</v>
      </c>
      <c r="AG147" s="76">
        <v>1579</v>
      </c>
      <c r="AH147" s="76">
        <v>1289</v>
      </c>
      <c r="AI147" s="76">
        <v>98538</v>
      </c>
      <c r="AJ147" s="76">
        <v>20</v>
      </c>
      <c r="AK147" s="76">
        <v>67886</v>
      </c>
      <c r="AL147" s="76">
        <v>656</v>
      </c>
      <c r="AM147" s="76" t="b">
        <v>0</v>
      </c>
      <c r="AN147" s="78">
        <v>39902.03496527778</v>
      </c>
      <c r="AO147" s="76" t="s">
        <v>1709</v>
      </c>
      <c r="AP147" s="76" t="s">
        <v>1882</v>
      </c>
      <c r="AQ147" s="76"/>
      <c r="AR147" s="76"/>
      <c r="AS147" s="76"/>
      <c r="AT147" s="76"/>
      <c r="AU147" s="76"/>
      <c r="AV147" s="76"/>
      <c r="AW147" s="76">
        <v>1.65939031678768E+18</v>
      </c>
      <c r="AX147" s="76"/>
      <c r="AY147" s="76" t="b">
        <v>0</v>
      </c>
      <c r="AZ147" s="76"/>
      <c r="BA147" s="76"/>
      <c r="BB147" s="76" t="b">
        <v>1</v>
      </c>
      <c r="BC147" s="76" t="b">
        <v>0</v>
      </c>
      <c r="BD147" s="76" t="b">
        <v>0</v>
      </c>
      <c r="BE147" s="76" t="b">
        <v>0</v>
      </c>
      <c r="BF147" s="76" t="b">
        <v>1</v>
      </c>
      <c r="BG147" s="76" t="b">
        <v>0</v>
      </c>
      <c r="BH147" s="76" t="b">
        <v>0</v>
      </c>
      <c r="BI147" s="82" t="str">
        <f>HYPERLINK("https://pbs.twimg.com/profile_banners/27546028/1697656010")</f>
        <v>https://pbs.twimg.com/profile_banners/27546028/1697656010</v>
      </c>
      <c r="BJ147" s="76"/>
      <c r="BK147" s="76" t="s">
        <v>2092</v>
      </c>
      <c r="BL147" s="76" t="b">
        <v>0</v>
      </c>
      <c r="BM147" s="76"/>
      <c r="BN147" s="76" t="s">
        <v>65</v>
      </c>
      <c r="BO147" s="76" t="s">
        <v>2094</v>
      </c>
      <c r="BP147" s="82" t="str">
        <f>HYPERLINK("https://twitter.com/csmoove_sports")</f>
        <v>https://twitter.com/csmoove_sports</v>
      </c>
      <c r="BQ147" s="76" t="str">
        <f>REPLACE(INDEX(GroupVertices[Group],MATCH("~"&amp;Vertices[[#This Row],[Vertex]],GroupVertices[Vertex],0)),1,1,"")</f>
        <v>5</v>
      </c>
      <c r="BR147" s="45"/>
      <c r="BS147" s="46"/>
      <c r="BT147" s="45"/>
      <c r="BU147" s="46"/>
      <c r="BV147" s="45"/>
      <c r="BW147" s="46"/>
      <c r="BX147" s="45"/>
      <c r="BY147" s="46"/>
      <c r="BZ147" s="45"/>
      <c r="CA147" s="45"/>
      <c r="CB147" s="45"/>
      <c r="CC147" s="45"/>
      <c r="CD147" s="45"/>
      <c r="CE147" s="45"/>
      <c r="CF147" s="45"/>
      <c r="CG147" s="45"/>
      <c r="CH147" s="45"/>
      <c r="CI147" s="45"/>
      <c r="CJ147" s="45"/>
      <c r="CK147" s="2"/>
    </row>
    <row r="148" spans="1:89" ht="41.45" customHeight="1">
      <c r="A148" s="61" t="s">
        <v>292</v>
      </c>
      <c r="C148" s="62"/>
      <c r="D148" s="62" t="s">
        <v>64</v>
      </c>
      <c r="E148" s="63">
        <v>70</v>
      </c>
      <c r="F148" s="65"/>
      <c r="G148" s="101" t="str">
        <f>HYPERLINK("https://pbs.twimg.com/profile_images/1648778452127088640/cUM-ttHC_normal.jpg")</f>
        <v>https://pbs.twimg.com/profile_images/1648778452127088640/cUM-ttHC_normal.jpg</v>
      </c>
      <c r="H148" s="62"/>
      <c r="I148" s="66" t="s">
        <v>292</v>
      </c>
      <c r="J148" s="67"/>
      <c r="K148" s="67" t="s">
        <v>75</v>
      </c>
      <c r="L148" s="66" t="s">
        <v>2233</v>
      </c>
      <c r="M148" s="70">
        <v>4000.2</v>
      </c>
      <c r="N148" s="71">
        <v>8321.72265625</v>
      </c>
      <c r="O148" s="71">
        <v>1750.0770263671875</v>
      </c>
      <c r="P148" s="72"/>
      <c r="Q148" s="73"/>
      <c r="R148" s="73"/>
      <c r="S148" s="87"/>
      <c r="T148" s="45">
        <v>2</v>
      </c>
      <c r="U148" s="45">
        <v>1</v>
      </c>
      <c r="V148" s="46">
        <v>0</v>
      </c>
      <c r="W148" s="46">
        <v>0.004695</v>
      </c>
      <c r="X148" s="46">
        <v>0</v>
      </c>
      <c r="Y148" s="46">
        <v>0.004999</v>
      </c>
      <c r="Z148" s="46">
        <v>0</v>
      </c>
      <c r="AA148" s="46">
        <v>0</v>
      </c>
      <c r="AB148" s="68">
        <v>142</v>
      </c>
      <c r="AC148" s="68"/>
      <c r="AD148" s="69"/>
      <c r="AE148" s="76" t="s">
        <v>1466</v>
      </c>
      <c r="AF148" s="80" t="s">
        <v>1269</v>
      </c>
      <c r="AG148" s="76">
        <v>735820</v>
      </c>
      <c r="AH148" s="76">
        <v>14939</v>
      </c>
      <c r="AI148" s="76">
        <v>153948</v>
      </c>
      <c r="AJ148" s="76">
        <v>5289</v>
      </c>
      <c r="AK148" s="76">
        <v>220072</v>
      </c>
      <c r="AL148" s="76">
        <v>7181</v>
      </c>
      <c r="AM148" s="76" t="b">
        <v>0</v>
      </c>
      <c r="AN148" s="78">
        <v>43041.79895833333</v>
      </c>
      <c r="AO148" s="76" t="s">
        <v>1710</v>
      </c>
      <c r="AP148" s="76" t="s">
        <v>1883</v>
      </c>
      <c r="AQ148" s="82" t="str">
        <f>HYPERLINK("https://t.co/qPOowJ8Z7c")</f>
        <v>https://t.co/qPOowJ8Z7c</v>
      </c>
      <c r="AR148" s="82" t="str">
        <f>HYPERLINK("http://www.muellershewrote.com")</f>
        <v>http://www.muellershewrote.com</v>
      </c>
      <c r="AS148" s="76" t="s">
        <v>2018</v>
      </c>
      <c r="AT148" s="76" t="s">
        <v>2060</v>
      </c>
      <c r="AU148" s="76" t="s">
        <v>2064</v>
      </c>
      <c r="AV148" s="76" t="s">
        <v>2082</v>
      </c>
      <c r="AW148" s="76">
        <v>1.7180690760133E+18</v>
      </c>
      <c r="AX148" s="82" t="str">
        <f>HYPERLINK("https://t.co/qPOowJ8Z7c")</f>
        <v>https://t.co/qPOowJ8Z7c</v>
      </c>
      <c r="AY148" s="76" t="b">
        <v>0</v>
      </c>
      <c r="AZ148" s="76"/>
      <c r="BA148" s="76"/>
      <c r="BB148" s="76" t="b">
        <v>1</v>
      </c>
      <c r="BC148" s="76" t="b">
        <v>1</v>
      </c>
      <c r="BD148" s="76" t="b">
        <v>0</v>
      </c>
      <c r="BE148" s="76" t="b">
        <v>0</v>
      </c>
      <c r="BF148" s="76" t="b">
        <v>1</v>
      </c>
      <c r="BG148" s="76" t="b">
        <v>0</v>
      </c>
      <c r="BH148" s="76" t="b">
        <v>0</v>
      </c>
      <c r="BI148" s="82" t="str">
        <f>HYPERLINK("https://pbs.twimg.com/profile_banners/926164634570067968/1680275246")</f>
        <v>https://pbs.twimg.com/profile_banners/926164634570067968/1680275246</v>
      </c>
      <c r="BJ148" s="76"/>
      <c r="BK148" s="76" t="s">
        <v>2092</v>
      </c>
      <c r="BL148" s="76" t="b">
        <v>0</v>
      </c>
      <c r="BM148" s="76"/>
      <c r="BN148" s="76" t="s">
        <v>66</v>
      </c>
      <c r="BO148" s="76" t="s">
        <v>2094</v>
      </c>
      <c r="BP148" s="82" t="str">
        <f>HYPERLINK("https://twitter.com/muellershewrote")</f>
        <v>https://twitter.com/muellershewrote</v>
      </c>
      <c r="BQ148" s="76" t="str">
        <f>REPLACE(INDEX(GroupVertices[Group],MATCH("~"&amp;Vertices[[#This Row],[Vertex]],GroupVertices[Vertex],0)),1,1,"")</f>
        <v>42</v>
      </c>
      <c r="BR148" s="45">
        <v>1</v>
      </c>
      <c r="BS148" s="46">
        <v>8.333333333333334</v>
      </c>
      <c r="BT148" s="45">
        <v>1</v>
      </c>
      <c r="BU148" s="46">
        <v>8.333333333333334</v>
      </c>
      <c r="BV148" s="45">
        <v>0</v>
      </c>
      <c r="BW148" s="46">
        <v>0</v>
      </c>
      <c r="BX148" s="45">
        <v>5</v>
      </c>
      <c r="BY148" s="46">
        <v>41.666666666666664</v>
      </c>
      <c r="BZ148" s="45">
        <v>12</v>
      </c>
      <c r="CA148" s="45"/>
      <c r="CB148" s="45"/>
      <c r="CC148" s="45"/>
      <c r="CD148" s="45"/>
      <c r="CE148" s="45"/>
      <c r="CF148" s="45"/>
      <c r="CG148" s="114" t="s">
        <v>11355</v>
      </c>
      <c r="CH148" s="114" t="s">
        <v>11355</v>
      </c>
      <c r="CI148" s="114" t="s">
        <v>11484</v>
      </c>
      <c r="CJ148" s="114" t="s">
        <v>11484</v>
      </c>
      <c r="CK148" s="2"/>
    </row>
    <row r="149" spans="1:89" ht="41.45" customHeight="1">
      <c r="A149" s="61" t="s">
        <v>293</v>
      </c>
      <c r="C149" s="62"/>
      <c r="D149" s="62" t="s">
        <v>64</v>
      </c>
      <c r="E149" s="63">
        <v>70</v>
      </c>
      <c r="F149" s="65"/>
      <c r="G149" s="101" t="str">
        <f>HYPERLINK("https://pbs.twimg.com/profile_images/1310595457484169217/f0n6l7hk_normal.jpg")</f>
        <v>https://pbs.twimg.com/profile_images/1310595457484169217/f0n6l7hk_normal.jpg</v>
      </c>
      <c r="H149" s="62"/>
      <c r="I149" s="66" t="s">
        <v>293</v>
      </c>
      <c r="J149" s="67"/>
      <c r="K149" s="67" t="s">
        <v>75</v>
      </c>
      <c r="L149" s="66" t="s">
        <v>2234</v>
      </c>
      <c r="M149" s="70">
        <v>1</v>
      </c>
      <c r="N149" s="71">
        <v>8321.72265625</v>
      </c>
      <c r="O149" s="71">
        <v>2407.773193359375</v>
      </c>
      <c r="P149" s="72"/>
      <c r="Q149" s="73"/>
      <c r="R149" s="73"/>
      <c r="S149" s="87"/>
      <c r="T149" s="45">
        <v>0</v>
      </c>
      <c r="U149" s="45">
        <v>1</v>
      </c>
      <c r="V149" s="46">
        <v>0</v>
      </c>
      <c r="W149" s="46">
        <v>0.004695</v>
      </c>
      <c r="X149" s="46">
        <v>0</v>
      </c>
      <c r="Y149" s="46">
        <v>0.004347</v>
      </c>
      <c r="Z149" s="46">
        <v>0</v>
      </c>
      <c r="AA149" s="46">
        <v>0</v>
      </c>
      <c r="AB149" s="68">
        <v>143</v>
      </c>
      <c r="AC149" s="68"/>
      <c r="AD149" s="69"/>
      <c r="AE149" s="76" t="s">
        <v>1467</v>
      </c>
      <c r="AF149" s="80" t="s">
        <v>1609</v>
      </c>
      <c r="AG149" s="76">
        <v>909</v>
      </c>
      <c r="AH149" s="76">
        <v>2510</v>
      </c>
      <c r="AI149" s="76">
        <v>17135</v>
      </c>
      <c r="AJ149" s="76">
        <v>3</v>
      </c>
      <c r="AK149" s="76">
        <v>4946</v>
      </c>
      <c r="AL149" s="76">
        <v>1777</v>
      </c>
      <c r="AM149" s="76" t="b">
        <v>0</v>
      </c>
      <c r="AN149" s="78">
        <v>40692.852789351855</v>
      </c>
      <c r="AO149" s="76" t="s">
        <v>1711</v>
      </c>
      <c r="AP149" s="76" t="s">
        <v>1884</v>
      </c>
      <c r="AQ149" s="76"/>
      <c r="AR149" s="76"/>
      <c r="AS149" s="76"/>
      <c r="AT149" s="76"/>
      <c r="AU149" s="76"/>
      <c r="AV149" s="76"/>
      <c r="AW149" s="76"/>
      <c r="AX149" s="76"/>
      <c r="AY149" s="76" t="b">
        <v>0</v>
      </c>
      <c r="AZ149" s="76"/>
      <c r="BA149" s="76"/>
      <c r="BB149" s="76" t="b">
        <v>0</v>
      </c>
      <c r="BC149" s="76" t="b">
        <v>0</v>
      </c>
      <c r="BD149" s="76" t="b">
        <v>0</v>
      </c>
      <c r="BE149" s="76" t="b">
        <v>0</v>
      </c>
      <c r="BF149" s="76" t="b">
        <v>1</v>
      </c>
      <c r="BG149" s="76" t="b">
        <v>0</v>
      </c>
      <c r="BH149" s="76" t="b">
        <v>0</v>
      </c>
      <c r="BI149" s="82" t="str">
        <f>HYPERLINK("https://pbs.twimg.com/profile_banners/307536357/1611844344")</f>
        <v>https://pbs.twimg.com/profile_banners/307536357/1611844344</v>
      </c>
      <c r="BJ149" s="76"/>
      <c r="BK149" s="76" t="s">
        <v>2092</v>
      </c>
      <c r="BL149" s="76" t="b">
        <v>0</v>
      </c>
      <c r="BM149" s="76"/>
      <c r="BN149" s="76" t="s">
        <v>66</v>
      </c>
      <c r="BO149" s="76" t="s">
        <v>2094</v>
      </c>
      <c r="BP149" s="82" t="str">
        <f>HYPERLINK("https://twitter.com/murray_tim")</f>
        <v>https://twitter.com/murray_tim</v>
      </c>
      <c r="BQ149" s="76" t="str">
        <f>REPLACE(INDEX(GroupVertices[Group],MATCH("~"&amp;Vertices[[#This Row],[Vertex]],GroupVertices[Vertex],0)),1,1,"")</f>
        <v>42</v>
      </c>
      <c r="BR149" s="45">
        <v>0</v>
      </c>
      <c r="BS149" s="46">
        <v>0</v>
      </c>
      <c r="BT149" s="45">
        <v>2</v>
      </c>
      <c r="BU149" s="46">
        <v>9.523809523809524</v>
      </c>
      <c r="BV149" s="45">
        <v>0</v>
      </c>
      <c r="BW149" s="46">
        <v>0</v>
      </c>
      <c r="BX149" s="45">
        <v>7</v>
      </c>
      <c r="BY149" s="46">
        <v>33.333333333333336</v>
      </c>
      <c r="BZ149" s="45">
        <v>21</v>
      </c>
      <c r="CA149" s="45"/>
      <c r="CB149" s="45"/>
      <c r="CC149" s="45"/>
      <c r="CD149" s="45"/>
      <c r="CE149" s="45"/>
      <c r="CF149" s="45"/>
      <c r="CG149" s="114" t="s">
        <v>11356</v>
      </c>
      <c r="CH149" s="114" t="s">
        <v>11356</v>
      </c>
      <c r="CI149" s="114" t="s">
        <v>11485</v>
      </c>
      <c r="CJ149" s="114" t="s">
        <v>11485</v>
      </c>
      <c r="CK149" s="2"/>
    </row>
    <row r="150" spans="1:89" ht="41.45" customHeight="1">
      <c r="A150" s="61" t="s">
        <v>295</v>
      </c>
      <c r="C150" s="62"/>
      <c r="D150" s="62" t="s">
        <v>64</v>
      </c>
      <c r="E150" s="63">
        <v>70</v>
      </c>
      <c r="F150" s="65"/>
      <c r="G150" s="101" t="str">
        <f>HYPERLINK("https://pbs.twimg.com/profile_images/1718830424208683008/6Oi7cFrY_normal.jpg")</f>
        <v>https://pbs.twimg.com/profile_images/1718830424208683008/6Oi7cFrY_normal.jpg</v>
      </c>
      <c r="H150" s="62"/>
      <c r="I150" s="66" t="s">
        <v>295</v>
      </c>
      <c r="J150" s="67"/>
      <c r="K150" s="67" t="s">
        <v>75</v>
      </c>
      <c r="L150" s="66" t="s">
        <v>2235</v>
      </c>
      <c r="M150" s="70">
        <v>1</v>
      </c>
      <c r="N150" s="71">
        <v>8987.244140625</v>
      </c>
      <c r="O150" s="71">
        <v>3777.343994140625</v>
      </c>
      <c r="P150" s="72"/>
      <c r="Q150" s="73"/>
      <c r="R150" s="73"/>
      <c r="S150" s="87"/>
      <c r="T150" s="45">
        <v>0</v>
      </c>
      <c r="U150" s="45">
        <v>1</v>
      </c>
      <c r="V150" s="46">
        <v>0</v>
      </c>
      <c r="W150" s="46">
        <v>0.004695</v>
      </c>
      <c r="X150" s="46">
        <v>0</v>
      </c>
      <c r="Y150" s="46">
        <v>0.004347</v>
      </c>
      <c r="Z150" s="46">
        <v>0</v>
      </c>
      <c r="AA150" s="46">
        <v>0</v>
      </c>
      <c r="AB150" s="68">
        <v>144</v>
      </c>
      <c r="AC150" s="68"/>
      <c r="AD150" s="69"/>
      <c r="AE150" s="76" t="s">
        <v>1468</v>
      </c>
      <c r="AF150" s="80" t="s">
        <v>1610</v>
      </c>
      <c r="AG150" s="76">
        <v>9356</v>
      </c>
      <c r="AH150" s="76">
        <v>10248</v>
      </c>
      <c r="AI150" s="76">
        <v>37342</v>
      </c>
      <c r="AJ150" s="76">
        <v>4</v>
      </c>
      <c r="AK150" s="76">
        <v>57320</v>
      </c>
      <c r="AL150" s="76">
        <v>5484</v>
      </c>
      <c r="AM150" s="76" t="b">
        <v>0</v>
      </c>
      <c r="AN150" s="78">
        <v>41418.71822916667</v>
      </c>
      <c r="AO150" s="76" t="s">
        <v>1712</v>
      </c>
      <c r="AP150" s="76" t="s">
        <v>1885</v>
      </c>
      <c r="AQ150" s="76"/>
      <c r="AR150" s="76"/>
      <c r="AS150" s="76"/>
      <c r="AT150" s="76"/>
      <c r="AU150" s="76"/>
      <c r="AV150" s="76"/>
      <c r="AW150" s="76">
        <v>1.28713502702589E+18</v>
      </c>
      <c r="AX150" s="76"/>
      <c r="AY150" s="76" t="b">
        <v>0</v>
      </c>
      <c r="AZ150" s="76"/>
      <c r="BA150" s="76"/>
      <c r="BB150" s="76" t="b">
        <v>0</v>
      </c>
      <c r="BC150" s="76" t="b">
        <v>0</v>
      </c>
      <c r="BD150" s="76" t="b">
        <v>1</v>
      </c>
      <c r="BE150" s="76" t="b">
        <v>0</v>
      </c>
      <c r="BF150" s="76" t="b">
        <v>1</v>
      </c>
      <c r="BG150" s="76" t="b">
        <v>0</v>
      </c>
      <c r="BH150" s="76" t="b">
        <v>0</v>
      </c>
      <c r="BI150" s="82" t="str">
        <f>HYPERLINK("https://pbs.twimg.com/profile_banners/1454713914/1663473540")</f>
        <v>https://pbs.twimg.com/profile_banners/1454713914/1663473540</v>
      </c>
      <c r="BJ150" s="76"/>
      <c r="BK150" s="76" t="s">
        <v>2092</v>
      </c>
      <c r="BL150" s="76" t="b">
        <v>0</v>
      </c>
      <c r="BM150" s="76"/>
      <c r="BN150" s="76" t="s">
        <v>66</v>
      </c>
      <c r="BO150" s="76" t="s">
        <v>2094</v>
      </c>
      <c r="BP150" s="82" t="str">
        <f>HYPERLINK("https://twitter.com/dedevotesblue")</f>
        <v>https://twitter.com/dedevotesblue</v>
      </c>
      <c r="BQ150" s="76" t="str">
        <f>REPLACE(INDEX(GroupVertices[Group],MATCH("~"&amp;Vertices[[#This Row],[Vertex]],GroupVertices[Vertex],0)),1,1,"")</f>
        <v>41</v>
      </c>
      <c r="BR150" s="45">
        <v>0</v>
      </c>
      <c r="BS150" s="46">
        <v>0</v>
      </c>
      <c r="BT150" s="45">
        <v>2</v>
      </c>
      <c r="BU150" s="46">
        <v>15.384615384615385</v>
      </c>
      <c r="BV150" s="45">
        <v>0</v>
      </c>
      <c r="BW150" s="46">
        <v>0</v>
      </c>
      <c r="BX150" s="45">
        <v>4</v>
      </c>
      <c r="BY150" s="46">
        <v>30.76923076923077</v>
      </c>
      <c r="BZ150" s="45">
        <v>13</v>
      </c>
      <c r="CA150" s="45"/>
      <c r="CB150" s="45"/>
      <c r="CC150" s="45"/>
      <c r="CD150" s="45"/>
      <c r="CE150" s="45" t="s">
        <v>591</v>
      </c>
      <c r="CF150" s="45" t="s">
        <v>591</v>
      </c>
      <c r="CG150" s="114" t="s">
        <v>11357</v>
      </c>
      <c r="CH150" s="114" t="s">
        <v>11357</v>
      </c>
      <c r="CI150" s="114" t="s">
        <v>11486</v>
      </c>
      <c r="CJ150" s="114" t="s">
        <v>11486</v>
      </c>
      <c r="CK150" s="2"/>
    </row>
    <row r="151" spans="1:89" ht="41.45" customHeight="1">
      <c r="A151" s="61" t="s">
        <v>305</v>
      </c>
      <c r="C151" s="62"/>
      <c r="D151" s="62" t="s">
        <v>64</v>
      </c>
      <c r="E151" s="63">
        <v>70</v>
      </c>
      <c r="F151" s="65"/>
      <c r="G151" s="101" t="str">
        <f>HYPERLINK("https://pbs.twimg.com/profile_images/1392850701877973005/MRlaun87_normal.jpg")</f>
        <v>https://pbs.twimg.com/profile_images/1392850701877973005/MRlaun87_normal.jpg</v>
      </c>
      <c r="H151" s="62"/>
      <c r="I151" s="66" t="s">
        <v>305</v>
      </c>
      <c r="J151" s="67"/>
      <c r="K151" s="67" t="s">
        <v>75</v>
      </c>
      <c r="L151" s="66" t="s">
        <v>2236</v>
      </c>
      <c r="M151" s="70">
        <v>4000.2</v>
      </c>
      <c r="N151" s="71">
        <v>8987.244140625</v>
      </c>
      <c r="O151" s="71">
        <v>3117.127685546875</v>
      </c>
      <c r="P151" s="72"/>
      <c r="Q151" s="73"/>
      <c r="R151" s="73"/>
      <c r="S151" s="87"/>
      <c r="T151" s="45">
        <v>2</v>
      </c>
      <c r="U151" s="45">
        <v>1</v>
      </c>
      <c r="V151" s="46">
        <v>0</v>
      </c>
      <c r="W151" s="46">
        <v>0.004695</v>
      </c>
      <c r="X151" s="46">
        <v>0</v>
      </c>
      <c r="Y151" s="46">
        <v>0.004999</v>
      </c>
      <c r="Z151" s="46">
        <v>0</v>
      </c>
      <c r="AA151" s="46">
        <v>0</v>
      </c>
      <c r="AB151" s="68">
        <v>145</v>
      </c>
      <c r="AC151" s="68"/>
      <c r="AD151" s="69"/>
      <c r="AE151" s="76" t="s">
        <v>1469</v>
      </c>
      <c r="AF151" s="80" t="s">
        <v>1611</v>
      </c>
      <c r="AG151" s="76">
        <v>60599</v>
      </c>
      <c r="AH151" s="76">
        <v>3943</v>
      </c>
      <c r="AI151" s="76">
        <v>29075</v>
      </c>
      <c r="AJ151" s="76">
        <v>670</v>
      </c>
      <c r="AK151" s="76">
        <v>28578</v>
      </c>
      <c r="AL151" s="76">
        <v>3771</v>
      </c>
      <c r="AM151" s="76" t="b">
        <v>0</v>
      </c>
      <c r="AN151" s="78">
        <v>40506.05799768519</v>
      </c>
      <c r="AO151" s="76"/>
      <c r="AP151" s="76" t="s">
        <v>1886</v>
      </c>
      <c r="AQ151" s="76"/>
      <c r="AR151" s="76"/>
      <c r="AS151" s="76"/>
      <c r="AT151" s="76"/>
      <c r="AU151" s="76"/>
      <c r="AV151" s="76"/>
      <c r="AW151" s="76">
        <v>1.64913141801694E+18</v>
      </c>
      <c r="AX151" s="76"/>
      <c r="AY151" s="76" t="b">
        <v>1</v>
      </c>
      <c r="AZ151" s="76"/>
      <c r="BA151" s="76"/>
      <c r="BB151" s="76" t="b">
        <v>1</v>
      </c>
      <c r="BC151" s="76" t="b">
        <v>1</v>
      </c>
      <c r="BD151" s="76" t="b">
        <v>0</v>
      </c>
      <c r="BE151" s="76" t="b">
        <v>0</v>
      </c>
      <c r="BF151" s="76" t="b">
        <v>1</v>
      </c>
      <c r="BG151" s="76" t="b">
        <v>0</v>
      </c>
      <c r="BH151" s="76" t="b">
        <v>0</v>
      </c>
      <c r="BI151" s="82" t="str">
        <f>HYPERLINK("https://pbs.twimg.com/profile_banners/219141142/1634158827")</f>
        <v>https://pbs.twimg.com/profile_banners/219141142/1634158827</v>
      </c>
      <c r="BJ151" s="76"/>
      <c r="BK151" s="76" t="s">
        <v>2092</v>
      </c>
      <c r="BL151" s="76" t="b">
        <v>0</v>
      </c>
      <c r="BM151" s="76"/>
      <c r="BN151" s="76" t="s">
        <v>66</v>
      </c>
      <c r="BO151" s="76" t="s">
        <v>2094</v>
      </c>
      <c r="BP151" s="82" t="str">
        <f>HYPERLINK("https://twitter.com/sawyerhackett")</f>
        <v>https://twitter.com/sawyerhackett</v>
      </c>
      <c r="BQ151" s="76" t="str">
        <f>REPLACE(INDEX(GroupVertices[Group],MATCH("~"&amp;Vertices[[#This Row],[Vertex]],GroupVertices[Vertex],0)),1,1,"")</f>
        <v>41</v>
      </c>
      <c r="BR151" s="45">
        <v>2</v>
      </c>
      <c r="BS151" s="46">
        <v>4.444444444444445</v>
      </c>
      <c r="BT151" s="45">
        <v>0</v>
      </c>
      <c r="BU151" s="46">
        <v>0</v>
      </c>
      <c r="BV151" s="45">
        <v>0</v>
      </c>
      <c r="BW151" s="46">
        <v>0</v>
      </c>
      <c r="BX151" s="45">
        <v>26</v>
      </c>
      <c r="BY151" s="46">
        <v>57.77777777777778</v>
      </c>
      <c r="BZ151" s="45">
        <v>45</v>
      </c>
      <c r="CA151" s="45" t="s">
        <v>11032</v>
      </c>
      <c r="CB151" s="45" t="s">
        <v>11032</v>
      </c>
      <c r="CC151" s="45" t="s">
        <v>613</v>
      </c>
      <c r="CD151" s="45" t="s">
        <v>613</v>
      </c>
      <c r="CE151" s="45"/>
      <c r="CF151" s="45"/>
      <c r="CG151" s="114" t="s">
        <v>11358</v>
      </c>
      <c r="CH151" s="114" t="s">
        <v>11358</v>
      </c>
      <c r="CI151" s="114" t="s">
        <v>11487</v>
      </c>
      <c r="CJ151" s="114" t="s">
        <v>11487</v>
      </c>
      <c r="CK151" s="2"/>
    </row>
    <row r="152" spans="1:89" ht="41.45" customHeight="1">
      <c r="A152" s="61" t="s">
        <v>296</v>
      </c>
      <c r="C152" s="62"/>
      <c r="D152" s="62" t="s">
        <v>64</v>
      </c>
      <c r="E152" s="63">
        <v>70</v>
      </c>
      <c r="F152" s="65"/>
      <c r="G152" s="101" t="str">
        <f>HYPERLINK("https://pbs.twimg.com/profile_images/1750247463125147648/0O2pv1Ps_normal.jpg")</f>
        <v>https://pbs.twimg.com/profile_images/1750247463125147648/0O2pv1Ps_normal.jpg</v>
      </c>
      <c r="H152" s="62"/>
      <c r="I152" s="66" t="s">
        <v>296</v>
      </c>
      <c r="J152" s="67"/>
      <c r="K152" s="67" t="s">
        <v>75</v>
      </c>
      <c r="L152" s="66" t="s">
        <v>2237</v>
      </c>
      <c r="M152" s="70">
        <v>1</v>
      </c>
      <c r="N152" s="71">
        <v>7657.54736328125</v>
      </c>
      <c r="O152" s="71">
        <v>1040.7225341796875</v>
      </c>
      <c r="P152" s="72"/>
      <c r="Q152" s="73"/>
      <c r="R152" s="73"/>
      <c r="S152" s="87"/>
      <c r="T152" s="45">
        <v>0</v>
      </c>
      <c r="U152" s="45">
        <v>1</v>
      </c>
      <c r="V152" s="46">
        <v>0</v>
      </c>
      <c r="W152" s="46">
        <v>0.004695</v>
      </c>
      <c r="X152" s="46">
        <v>0</v>
      </c>
      <c r="Y152" s="46">
        <v>0.004673</v>
      </c>
      <c r="Z152" s="46">
        <v>0</v>
      </c>
      <c r="AA152" s="46">
        <v>0</v>
      </c>
      <c r="AB152" s="68">
        <v>146</v>
      </c>
      <c r="AC152" s="68"/>
      <c r="AD152" s="69"/>
      <c r="AE152" s="76" t="s">
        <v>1470</v>
      </c>
      <c r="AF152" s="80" t="s">
        <v>1270</v>
      </c>
      <c r="AG152" s="76">
        <v>1198</v>
      </c>
      <c r="AH152" s="76">
        <v>877</v>
      </c>
      <c r="AI152" s="76">
        <v>36478</v>
      </c>
      <c r="AJ152" s="76">
        <v>8</v>
      </c>
      <c r="AK152" s="76">
        <v>61758</v>
      </c>
      <c r="AL152" s="76">
        <v>7187</v>
      </c>
      <c r="AM152" s="76" t="b">
        <v>0</v>
      </c>
      <c r="AN152" s="78">
        <v>44681.88806712963</v>
      </c>
      <c r="AO152" s="76" t="s">
        <v>852</v>
      </c>
      <c r="AP152" s="76" t="s">
        <v>1887</v>
      </c>
      <c r="AQ152" s="82" t="str">
        <f>HYPERLINK("https://t.co/WAgoXwu618")</f>
        <v>https://t.co/WAgoXwu618</v>
      </c>
      <c r="AR152" s="82" t="str">
        <f>HYPERLINK("https://linktr.ee/Vanhopecomedy")</f>
        <v>https://linktr.ee/Vanhopecomedy</v>
      </c>
      <c r="AS152" s="76" t="s">
        <v>2019</v>
      </c>
      <c r="AT152" s="76"/>
      <c r="AU152" s="76"/>
      <c r="AV152" s="76"/>
      <c r="AW152" s="76">
        <v>1.75005306606867E+18</v>
      </c>
      <c r="AX152" s="82" t="str">
        <f>HYPERLINK("https://t.co/WAgoXwu618")</f>
        <v>https://t.co/WAgoXwu618</v>
      </c>
      <c r="AY152" s="76" t="b">
        <v>0</v>
      </c>
      <c r="AZ152" s="76"/>
      <c r="BA152" s="76"/>
      <c r="BB152" s="76" t="b">
        <v>0</v>
      </c>
      <c r="BC152" s="76" t="b">
        <v>0</v>
      </c>
      <c r="BD152" s="76" t="b">
        <v>1</v>
      </c>
      <c r="BE152" s="76" t="b">
        <v>0</v>
      </c>
      <c r="BF152" s="76" t="b">
        <v>1</v>
      </c>
      <c r="BG152" s="76" t="b">
        <v>0</v>
      </c>
      <c r="BH152" s="76" t="b">
        <v>0</v>
      </c>
      <c r="BI152" s="82" t="str">
        <f>HYPERLINK("https://pbs.twimg.com/profile_banners/1520512959625064448/1702948782")</f>
        <v>https://pbs.twimg.com/profile_banners/1520512959625064448/1702948782</v>
      </c>
      <c r="BJ152" s="76"/>
      <c r="BK152" s="76" t="s">
        <v>2092</v>
      </c>
      <c r="BL152" s="76" t="b">
        <v>0</v>
      </c>
      <c r="BM152" s="76"/>
      <c r="BN152" s="76" t="s">
        <v>66</v>
      </c>
      <c r="BO152" s="76" t="s">
        <v>2094</v>
      </c>
      <c r="BP152" s="82" t="str">
        <f>HYPERLINK("https://twitter.com/vanhopecomedy")</f>
        <v>https://twitter.com/vanhopecomedy</v>
      </c>
      <c r="BQ152" s="76" t="str">
        <f>REPLACE(INDEX(GroupVertices[Group],MATCH("~"&amp;Vertices[[#This Row],[Vertex]],GroupVertices[Vertex],0)),1,1,"")</f>
        <v>40</v>
      </c>
      <c r="BR152" s="45">
        <v>1</v>
      </c>
      <c r="BS152" s="46">
        <v>4.3478260869565215</v>
      </c>
      <c r="BT152" s="45">
        <v>1</v>
      </c>
      <c r="BU152" s="46">
        <v>4.3478260869565215</v>
      </c>
      <c r="BV152" s="45">
        <v>0</v>
      </c>
      <c r="BW152" s="46">
        <v>0</v>
      </c>
      <c r="BX152" s="45">
        <v>9</v>
      </c>
      <c r="BY152" s="46">
        <v>39.130434782608695</v>
      </c>
      <c r="BZ152" s="45">
        <v>23</v>
      </c>
      <c r="CA152" s="45"/>
      <c r="CB152" s="45"/>
      <c r="CC152" s="45"/>
      <c r="CD152" s="45"/>
      <c r="CE152" s="45"/>
      <c r="CF152" s="45"/>
      <c r="CG152" s="114" t="s">
        <v>11359</v>
      </c>
      <c r="CH152" s="114" t="s">
        <v>11359</v>
      </c>
      <c r="CI152" s="114" t="s">
        <v>11488</v>
      </c>
      <c r="CJ152" s="114" t="s">
        <v>11488</v>
      </c>
      <c r="CK152" s="2"/>
    </row>
    <row r="153" spans="1:89" ht="41.45" customHeight="1">
      <c r="A153" s="61" t="s">
        <v>403</v>
      </c>
      <c r="C153" s="62"/>
      <c r="D153" s="62" t="s">
        <v>64</v>
      </c>
      <c r="E153" s="63">
        <v>70</v>
      </c>
      <c r="F153" s="65"/>
      <c r="G153" s="101" t="str">
        <f>HYPERLINK("https://pbs.twimg.com/profile_images/1750719695584378880/-dk0FV5Z_normal.jpg")</f>
        <v>https://pbs.twimg.com/profile_images/1750719695584378880/-dk0FV5Z_normal.jpg</v>
      </c>
      <c r="H153" s="62"/>
      <c r="I153" s="66" t="s">
        <v>403</v>
      </c>
      <c r="J153" s="67"/>
      <c r="K153" s="67" t="s">
        <v>75</v>
      </c>
      <c r="L153" s="66" t="s">
        <v>2238</v>
      </c>
      <c r="M153" s="70">
        <v>2000.6</v>
      </c>
      <c r="N153" s="71">
        <v>7657.54736328125</v>
      </c>
      <c r="O153" s="71">
        <v>380.50628662109375</v>
      </c>
      <c r="P153" s="72"/>
      <c r="Q153" s="73"/>
      <c r="R153" s="73"/>
      <c r="S153" s="87"/>
      <c r="T153" s="45">
        <v>1</v>
      </c>
      <c r="U153" s="45">
        <v>0</v>
      </c>
      <c r="V153" s="46">
        <v>0</v>
      </c>
      <c r="W153" s="46">
        <v>0.004695</v>
      </c>
      <c r="X153" s="46">
        <v>0</v>
      </c>
      <c r="Y153" s="46">
        <v>0.004673</v>
      </c>
      <c r="Z153" s="46">
        <v>0</v>
      </c>
      <c r="AA153" s="46">
        <v>0</v>
      </c>
      <c r="AB153" s="68">
        <v>147</v>
      </c>
      <c r="AC153" s="68"/>
      <c r="AD153" s="69"/>
      <c r="AE153" s="76" t="s">
        <v>1471</v>
      </c>
      <c r="AF153" s="80" t="s">
        <v>1184</v>
      </c>
      <c r="AG153" s="76">
        <v>929</v>
      </c>
      <c r="AH153" s="76">
        <v>4959</v>
      </c>
      <c r="AI153" s="76">
        <v>61511</v>
      </c>
      <c r="AJ153" s="76">
        <v>1</v>
      </c>
      <c r="AK153" s="76">
        <v>22162</v>
      </c>
      <c r="AL153" s="76">
        <v>8174</v>
      </c>
      <c r="AM153" s="76" t="b">
        <v>0</v>
      </c>
      <c r="AN153" s="78">
        <v>44037.98168981481</v>
      </c>
      <c r="AO153" s="76" t="s">
        <v>1713</v>
      </c>
      <c r="AP153" s="76" t="s">
        <v>1888</v>
      </c>
      <c r="AQ153" s="82" t="str">
        <f>HYPERLINK("https://t.co/L9n91PEX9n")</f>
        <v>https://t.co/L9n91PEX9n</v>
      </c>
      <c r="AR153" s="82" t="str">
        <f>HYPERLINK("https://curiouscat.live/meggie_meg27")</f>
        <v>https://curiouscat.live/meggie_meg27</v>
      </c>
      <c r="AS153" s="76" t="s">
        <v>2020</v>
      </c>
      <c r="AT153" s="76"/>
      <c r="AU153" s="76"/>
      <c r="AV153" s="76"/>
      <c r="AW153" s="76">
        <v>1.74773540611468E+18</v>
      </c>
      <c r="AX153" s="82" t="str">
        <f>HYPERLINK("https://t.co/L9n91PEX9n")</f>
        <v>https://t.co/L9n91PEX9n</v>
      </c>
      <c r="AY153" s="76" t="b">
        <v>0</v>
      </c>
      <c r="AZ153" s="76"/>
      <c r="BA153" s="76"/>
      <c r="BB153" s="76" t="b">
        <v>1</v>
      </c>
      <c r="BC153" s="76" t="b">
        <v>0</v>
      </c>
      <c r="BD153" s="76" t="b">
        <v>1</v>
      </c>
      <c r="BE153" s="76" t="b">
        <v>0</v>
      </c>
      <c r="BF153" s="76" t="b">
        <v>1</v>
      </c>
      <c r="BG153" s="76" t="b">
        <v>0</v>
      </c>
      <c r="BH153" s="76" t="b">
        <v>0</v>
      </c>
      <c r="BI153" s="82" t="str">
        <f>HYPERLINK("https://pbs.twimg.com/profile_banners/1287169096224841730/1695090990")</f>
        <v>https://pbs.twimg.com/profile_banners/1287169096224841730/1695090990</v>
      </c>
      <c r="BJ153" s="76"/>
      <c r="BK153" s="76" t="s">
        <v>2092</v>
      </c>
      <c r="BL153" s="76" t="b">
        <v>0</v>
      </c>
      <c r="BM153" s="76"/>
      <c r="BN153" s="76" t="s">
        <v>65</v>
      </c>
      <c r="BO153" s="76" t="s">
        <v>2094</v>
      </c>
      <c r="BP153" s="82" t="str">
        <f>HYPERLINK("https://twitter.com/meggie_meg26")</f>
        <v>https://twitter.com/meggie_meg26</v>
      </c>
      <c r="BQ153" s="76" t="str">
        <f>REPLACE(INDEX(GroupVertices[Group],MATCH("~"&amp;Vertices[[#This Row],[Vertex]],GroupVertices[Vertex],0)),1,1,"")</f>
        <v>40</v>
      </c>
      <c r="BR153" s="45"/>
      <c r="BS153" s="46"/>
      <c r="BT153" s="45"/>
      <c r="BU153" s="46"/>
      <c r="BV153" s="45"/>
      <c r="BW153" s="46"/>
      <c r="BX153" s="45"/>
      <c r="BY153" s="46"/>
      <c r="BZ153" s="45"/>
      <c r="CA153" s="45"/>
      <c r="CB153" s="45"/>
      <c r="CC153" s="45"/>
      <c r="CD153" s="45"/>
      <c r="CE153" s="45"/>
      <c r="CF153" s="45"/>
      <c r="CG153" s="45"/>
      <c r="CH153" s="45"/>
      <c r="CI153" s="45"/>
      <c r="CJ153" s="45"/>
      <c r="CK153" s="2"/>
    </row>
    <row r="154" spans="1:89" ht="41.45" customHeight="1">
      <c r="A154" s="61" t="s">
        <v>297</v>
      </c>
      <c r="C154" s="62"/>
      <c r="D154" s="62" t="s">
        <v>64</v>
      </c>
      <c r="E154" s="63">
        <v>70</v>
      </c>
      <c r="F154" s="65"/>
      <c r="G154" s="101" t="str">
        <f>HYPERLINK("https://pbs.twimg.com/profile_images/1575315701489074176/GN-uNm0m_normal.jpg")</f>
        <v>https://pbs.twimg.com/profile_images/1575315701489074176/GN-uNm0m_normal.jpg</v>
      </c>
      <c r="H154" s="62"/>
      <c r="I154" s="66" t="s">
        <v>297</v>
      </c>
      <c r="J154" s="67"/>
      <c r="K154" s="67" t="s">
        <v>75</v>
      </c>
      <c r="L154" s="66" t="s">
        <v>2239</v>
      </c>
      <c r="M154" s="70">
        <v>1</v>
      </c>
      <c r="N154" s="71">
        <v>8321.72265625</v>
      </c>
      <c r="O154" s="71">
        <v>3777.343994140625</v>
      </c>
      <c r="P154" s="72"/>
      <c r="Q154" s="73"/>
      <c r="R154" s="73"/>
      <c r="S154" s="87"/>
      <c r="T154" s="45">
        <v>0</v>
      </c>
      <c r="U154" s="45">
        <v>1</v>
      </c>
      <c r="V154" s="46">
        <v>0</v>
      </c>
      <c r="W154" s="46">
        <v>0.004695</v>
      </c>
      <c r="X154" s="46">
        <v>0</v>
      </c>
      <c r="Y154" s="46">
        <v>0.004673</v>
      </c>
      <c r="Z154" s="46">
        <v>0</v>
      </c>
      <c r="AA154" s="46">
        <v>0</v>
      </c>
      <c r="AB154" s="68">
        <v>148</v>
      </c>
      <c r="AC154" s="68"/>
      <c r="AD154" s="69"/>
      <c r="AE154" s="76" t="s">
        <v>1472</v>
      </c>
      <c r="AF154" s="80" t="s">
        <v>1271</v>
      </c>
      <c r="AG154" s="76">
        <v>97</v>
      </c>
      <c r="AH154" s="76">
        <v>692</v>
      </c>
      <c r="AI154" s="76">
        <v>12572</v>
      </c>
      <c r="AJ154" s="76">
        <v>1</v>
      </c>
      <c r="AK154" s="76">
        <v>53138</v>
      </c>
      <c r="AL154" s="76">
        <v>388</v>
      </c>
      <c r="AM154" s="76" t="b">
        <v>0</v>
      </c>
      <c r="AN154" s="78">
        <v>42764.3200462963</v>
      </c>
      <c r="AO154" s="76" t="s">
        <v>852</v>
      </c>
      <c r="AP154" s="82" t="str">
        <f>HYPERLINK("https://t.co/3rIp1rBv4s")</f>
        <v>https://t.co/3rIp1rBv4s</v>
      </c>
      <c r="AQ154" s="82" t="str">
        <f>HYPERLINK("https://t.co/T2ZfykthW1")</f>
        <v>https://t.co/T2ZfykthW1</v>
      </c>
      <c r="AR154" s="82" t="str">
        <f>HYPERLINK("http://instagram.com/thepolaricecap")</f>
        <v>http://instagram.com/thepolaricecap</v>
      </c>
      <c r="AS154" s="76" t="s">
        <v>2021</v>
      </c>
      <c r="AT154" s="82" t="str">
        <f>HYPERLINK("https://t.co/3rIp1rBv4s")</f>
        <v>https://t.co/3rIp1rBv4s</v>
      </c>
      <c r="AU154" s="82" t="str">
        <f>HYPERLINK("https://spoti.fi/3Qaw81P")</f>
        <v>https://spoti.fi/3Qaw81P</v>
      </c>
      <c r="AV154" s="76" t="s">
        <v>2083</v>
      </c>
      <c r="AW154" s="76">
        <v>1.55170399308404E+18</v>
      </c>
      <c r="AX154" s="82" t="str">
        <f>HYPERLINK("https://t.co/T2ZfykthW1")</f>
        <v>https://t.co/T2ZfykthW1</v>
      </c>
      <c r="AY154" s="76" t="b">
        <v>0</v>
      </c>
      <c r="AZ154" s="76"/>
      <c r="BA154" s="76"/>
      <c r="BB154" s="76" t="b">
        <v>0</v>
      </c>
      <c r="BC154" s="76" t="b">
        <v>0</v>
      </c>
      <c r="BD154" s="76" t="b">
        <v>0</v>
      </c>
      <c r="BE154" s="76" t="b">
        <v>0</v>
      </c>
      <c r="BF154" s="76" t="b">
        <v>1</v>
      </c>
      <c r="BG154" s="76" t="b">
        <v>0</v>
      </c>
      <c r="BH154" s="76" t="b">
        <v>0</v>
      </c>
      <c r="BI154" s="82" t="str">
        <f>HYPERLINK("https://pbs.twimg.com/profile_banners/825609640033476611/1668175580")</f>
        <v>https://pbs.twimg.com/profile_banners/825609640033476611/1668175580</v>
      </c>
      <c r="BJ154" s="76"/>
      <c r="BK154" s="76" t="s">
        <v>2092</v>
      </c>
      <c r="BL154" s="76" t="b">
        <v>0</v>
      </c>
      <c r="BM154" s="76"/>
      <c r="BN154" s="76" t="s">
        <v>66</v>
      </c>
      <c r="BO154" s="76" t="s">
        <v>2094</v>
      </c>
      <c r="BP154" s="82" t="str">
        <f>HYPERLINK("https://twitter.com/foeayem")</f>
        <v>https://twitter.com/foeayem</v>
      </c>
      <c r="BQ154" s="76" t="str">
        <f>REPLACE(INDEX(GroupVertices[Group],MATCH("~"&amp;Vertices[[#This Row],[Vertex]],GroupVertices[Vertex],0)),1,1,"")</f>
        <v>39</v>
      </c>
      <c r="BR154" s="45">
        <v>0</v>
      </c>
      <c r="BS154" s="46">
        <v>0</v>
      </c>
      <c r="BT154" s="45">
        <v>4</v>
      </c>
      <c r="BU154" s="46">
        <v>14.814814814814815</v>
      </c>
      <c r="BV154" s="45">
        <v>0</v>
      </c>
      <c r="BW154" s="46">
        <v>0</v>
      </c>
      <c r="BX154" s="45">
        <v>13</v>
      </c>
      <c r="BY154" s="46">
        <v>48.148148148148145</v>
      </c>
      <c r="BZ154" s="45">
        <v>27</v>
      </c>
      <c r="CA154" s="45"/>
      <c r="CB154" s="45"/>
      <c r="CC154" s="45"/>
      <c r="CD154" s="45"/>
      <c r="CE154" s="45"/>
      <c r="CF154" s="45"/>
      <c r="CG154" s="114" t="s">
        <v>11360</v>
      </c>
      <c r="CH154" s="114" t="s">
        <v>11360</v>
      </c>
      <c r="CI154" s="114" t="s">
        <v>11489</v>
      </c>
      <c r="CJ154" s="114" t="s">
        <v>11489</v>
      </c>
      <c r="CK154" s="2"/>
    </row>
    <row r="155" spans="1:89" ht="41.45" customHeight="1">
      <c r="A155" s="61" t="s">
        <v>404</v>
      </c>
      <c r="C155" s="62"/>
      <c r="D155" s="62" t="s">
        <v>64</v>
      </c>
      <c r="E155" s="63">
        <v>70</v>
      </c>
      <c r="F155" s="65"/>
      <c r="G155" s="101" t="str">
        <f>HYPERLINK("https://pbs.twimg.com/profile_images/1751756964021878784/FwgRzQE3_normal.jpg")</f>
        <v>https://pbs.twimg.com/profile_images/1751756964021878784/FwgRzQE3_normal.jpg</v>
      </c>
      <c r="H155" s="62"/>
      <c r="I155" s="66" t="s">
        <v>404</v>
      </c>
      <c r="J155" s="67"/>
      <c r="K155" s="67" t="s">
        <v>75</v>
      </c>
      <c r="L155" s="66" t="s">
        <v>2240</v>
      </c>
      <c r="M155" s="70">
        <v>2000.6</v>
      </c>
      <c r="N155" s="71">
        <v>8321.72265625</v>
      </c>
      <c r="O155" s="71">
        <v>3117.127685546875</v>
      </c>
      <c r="P155" s="72"/>
      <c r="Q155" s="73"/>
      <c r="R155" s="73"/>
      <c r="S155" s="87"/>
      <c r="T155" s="45">
        <v>1</v>
      </c>
      <c r="U155" s="45">
        <v>0</v>
      </c>
      <c r="V155" s="46">
        <v>0</v>
      </c>
      <c r="W155" s="46">
        <v>0.004695</v>
      </c>
      <c r="X155" s="46">
        <v>0</v>
      </c>
      <c r="Y155" s="46">
        <v>0.004673</v>
      </c>
      <c r="Z155" s="46">
        <v>0</v>
      </c>
      <c r="AA155" s="46">
        <v>0</v>
      </c>
      <c r="AB155" s="68">
        <v>149</v>
      </c>
      <c r="AC155" s="68"/>
      <c r="AD155" s="69"/>
      <c r="AE155" s="76" t="s">
        <v>1473</v>
      </c>
      <c r="AF155" s="80" t="s">
        <v>1185</v>
      </c>
      <c r="AG155" s="76">
        <v>2488</v>
      </c>
      <c r="AH155" s="76">
        <v>98</v>
      </c>
      <c r="AI155" s="76">
        <v>3734</v>
      </c>
      <c r="AJ155" s="76">
        <v>5</v>
      </c>
      <c r="AK155" s="76">
        <v>7866</v>
      </c>
      <c r="AL155" s="76">
        <v>121</v>
      </c>
      <c r="AM155" s="76" t="b">
        <v>0</v>
      </c>
      <c r="AN155" s="78">
        <v>44300.08201388889</v>
      </c>
      <c r="AO155" s="76"/>
      <c r="AP155" s="76" t="s">
        <v>1889</v>
      </c>
      <c r="AQ155" s="76"/>
      <c r="AR155" s="76"/>
      <c r="AS155" s="76"/>
      <c r="AT155" s="76"/>
      <c r="AU155" s="76"/>
      <c r="AV155" s="76"/>
      <c r="AW155" s="76">
        <v>1.71436903776801E+18</v>
      </c>
      <c r="AX155" s="76"/>
      <c r="AY155" s="76" t="b">
        <v>0</v>
      </c>
      <c r="AZ155" s="76"/>
      <c r="BA155" s="76"/>
      <c r="BB155" s="76" t="b">
        <v>1</v>
      </c>
      <c r="BC155" s="76" t="b">
        <v>0</v>
      </c>
      <c r="BD155" s="76" t="b">
        <v>1</v>
      </c>
      <c r="BE155" s="76" t="b">
        <v>0</v>
      </c>
      <c r="BF155" s="76" t="b">
        <v>1</v>
      </c>
      <c r="BG155" s="76" t="b">
        <v>0</v>
      </c>
      <c r="BH155" s="76" t="b">
        <v>0</v>
      </c>
      <c r="BI155" s="82" t="str">
        <f>HYPERLINK("https://pbs.twimg.com/profile_banners/1382151111298125825/1705943379")</f>
        <v>https://pbs.twimg.com/profile_banners/1382151111298125825/1705943379</v>
      </c>
      <c r="BJ155" s="76"/>
      <c r="BK155" s="76" t="s">
        <v>2092</v>
      </c>
      <c r="BL155" s="76" t="b">
        <v>0</v>
      </c>
      <c r="BM155" s="76"/>
      <c r="BN155" s="76" t="s">
        <v>65</v>
      </c>
      <c r="BO155" s="76" t="s">
        <v>2094</v>
      </c>
      <c r="BP155" s="82" t="str">
        <f>HYPERLINK("https://twitter.com/bessbousaa")</f>
        <v>https://twitter.com/bessbousaa</v>
      </c>
      <c r="BQ155" s="76" t="str">
        <f>REPLACE(INDEX(GroupVertices[Group],MATCH("~"&amp;Vertices[[#This Row],[Vertex]],GroupVertices[Vertex],0)),1,1,"")</f>
        <v>39</v>
      </c>
      <c r="BR155" s="45"/>
      <c r="BS155" s="46"/>
      <c r="BT155" s="45"/>
      <c r="BU155" s="46"/>
      <c r="BV155" s="45"/>
      <c r="BW155" s="46"/>
      <c r="BX155" s="45"/>
      <c r="BY155" s="46"/>
      <c r="BZ155" s="45"/>
      <c r="CA155" s="45"/>
      <c r="CB155" s="45"/>
      <c r="CC155" s="45"/>
      <c r="CD155" s="45"/>
      <c r="CE155" s="45"/>
      <c r="CF155" s="45"/>
      <c r="CG155" s="45"/>
      <c r="CH155" s="45"/>
      <c r="CI155" s="45"/>
      <c r="CJ155" s="45"/>
      <c r="CK155" s="2"/>
    </row>
    <row r="156" spans="1:89" ht="41.45" customHeight="1">
      <c r="A156" s="61" t="s">
        <v>299</v>
      </c>
      <c r="C156" s="62"/>
      <c r="D156" s="62" t="s">
        <v>64</v>
      </c>
      <c r="E156" s="63">
        <v>70</v>
      </c>
      <c r="F156" s="65"/>
      <c r="G156" s="101" t="str">
        <f>HYPERLINK("https://pbs.twimg.com/profile_images/1692529067894112256/zxhTLwSr_normal.jpg")</f>
        <v>https://pbs.twimg.com/profile_images/1692529067894112256/zxhTLwSr_normal.jpg</v>
      </c>
      <c r="H156" s="62"/>
      <c r="I156" s="66" t="s">
        <v>299</v>
      </c>
      <c r="J156" s="67"/>
      <c r="K156" s="67" t="s">
        <v>75</v>
      </c>
      <c r="L156" s="66" t="s">
        <v>2241</v>
      </c>
      <c r="M156" s="70">
        <v>2000.6</v>
      </c>
      <c r="N156" s="71">
        <v>1134.3516845703125</v>
      </c>
      <c r="O156" s="71">
        <v>8587.8505859375</v>
      </c>
      <c r="P156" s="72"/>
      <c r="Q156" s="73"/>
      <c r="R156" s="73"/>
      <c r="S156" s="87"/>
      <c r="T156" s="45">
        <v>1</v>
      </c>
      <c r="U156" s="45">
        <v>1</v>
      </c>
      <c r="V156" s="46">
        <v>0</v>
      </c>
      <c r="W156" s="46">
        <v>0</v>
      </c>
      <c r="X156" s="46">
        <v>0</v>
      </c>
      <c r="Y156" s="46">
        <v>0.004673</v>
      </c>
      <c r="Z156" s="46">
        <v>0</v>
      </c>
      <c r="AA156" s="46">
        <v>0</v>
      </c>
      <c r="AB156" s="68">
        <v>150</v>
      </c>
      <c r="AC156" s="68"/>
      <c r="AD156" s="69"/>
      <c r="AE156" s="76" t="s">
        <v>1474</v>
      </c>
      <c r="AF156" s="80" t="s">
        <v>1272</v>
      </c>
      <c r="AG156" s="76">
        <v>108</v>
      </c>
      <c r="AH156" s="76">
        <v>137</v>
      </c>
      <c r="AI156" s="76">
        <v>10135</v>
      </c>
      <c r="AJ156" s="76">
        <v>0</v>
      </c>
      <c r="AK156" s="76">
        <v>21040</v>
      </c>
      <c r="AL156" s="76">
        <v>1788</v>
      </c>
      <c r="AM156" s="76" t="b">
        <v>0</v>
      </c>
      <c r="AN156" s="78">
        <v>44176.18850694445</v>
      </c>
      <c r="AO156" s="76" t="s">
        <v>1714</v>
      </c>
      <c r="AP156" s="76" t="s">
        <v>1890</v>
      </c>
      <c r="AQ156" s="76"/>
      <c r="AR156" s="76"/>
      <c r="AS156" s="76"/>
      <c r="AT156" s="76"/>
      <c r="AU156" s="76"/>
      <c r="AV156" s="76"/>
      <c r="AW156" s="76">
        <v>1.73151192090006E+18</v>
      </c>
      <c r="AX156" s="76"/>
      <c r="AY156" s="76" t="b">
        <v>0</v>
      </c>
      <c r="AZ156" s="76"/>
      <c r="BA156" s="76"/>
      <c r="BB156" s="76" t="b">
        <v>1</v>
      </c>
      <c r="BC156" s="76" t="b">
        <v>0</v>
      </c>
      <c r="BD156" s="76" t="b">
        <v>1</v>
      </c>
      <c r="BE156" s="76" t="b">
        <v>0</v>
      </c>
      <c r="BF156" s="76" t="b">
        <v>1</v>
      </c>
      <c r="BG156" s="76" t="b">
        <v>0</v>
      </c>
      <c r="BH156" s="76" t="b">
        <v>0</v>
      </c>
      <c r="BI156" s="82" t="str">
        <f>HYPERLINK("https://pbs.twimg.com/profile_banners/1337253603916959745/1656846745")</f>
        <v>https://pbs.twimg.com/profile_banners/1337253603916959745/1656846745</v>
      </c>
      <c r="BJ156" s="76"/>
      <c r="BK156" s="76" t="s">
        <v>2092</v>
      </c>
      <c r="BL156" s="76" t="b">
        <v>0</v>
      </c>
      <c r="BM156" s="76"/>
      <c r="BN156" s="76" t="s">
        <v>66</v>
      </c>
      <c r="BO156" s="76" t="s">
        <v>2094</v>
      </c>
      <c r="BP156" s="82" t="str">
        <f>HYPERLINK("https://twitter.com/anmolrightnow")</f>
        <v>https://twitter.com/anmolrightnow</v>
      </c>
      <c r="BQ156" s="76" t="str">
        <f>REPLACE(INDEX(GroupVertices[Group],MATCH("~"&amp;Vertices[[#This Row],[Vertex]],GroupVertices[Vertex],0)),1,1,"")</f>
        <v>1</v>
      </c>
      <c r="BR156" s="45">
        <v>0</v>
      </c>
      <c r="BS156" s="46">
        <v>0</v>
      </c>
      <c r="BT156" s="45">
        <v>1</v>
      </c>
      <c r="BU156" s="46">
        <v>10</v>
      </c>
      <c r="BV156" s="45">
        <v>0</v>
      </c>
      <c r="BW156" s="46">
        <v>0</v>
      </c>
      <c r="BX156" s="45">
        <v>4</v>
      </c>
      <c r="BY156" s="46">
        <v>40</v>
      </c>
      <c r="BZ156" s="45">
        <v>10</v>
      </c>
      <c r="CA156" s="45"/>
      <c r="CB156" s="45"/>
      <c r="CC156" s="45"/>
      <c r="CD156" s="45"/>
      <c r="CE156" s="45"/>
      <c r="CF156" s="45"/>
      <c r="CG156" s="114" t="s">
        <v>11361</v>
      </c>
      <c r="CH156" s="114" t="s">
        <v>11361</v>
      </c>
      <c r="CI156" s="114" t="s">
        <v>11490</v>
      </c>
      <c r="CJ156" s="114" t="s">
        <v>11490</v>
      </c>
      <c r="CK156" s="2"/>
    </row>
    <row r="157" spans="1:89" ht="41.45" customHeight="1">
      <c r="A157" s="61" t="s">
        <v>300</v>
      </c>
      <c r="C157" s="62"/>
      <c r="D157" s="62" t="s">
        <v>64</v>
      </c>
      <c r="E157" s="63">
        <v>70</v>
      </c>
      <c r="F157" s="65"/>
      <c r="G157" s="101" t="str">
        <f>HYPERLINK("https://pbs.twimg.com/profile_images/1629689892921020416/6_vXKeEX_normal.jpg")</f>
        <v>https://pbs.twimg.com/profile_images/1629689892921020416/6_vXKeEX_normal.jpg</v>
      </c>
      <c r="H157" s="62"/>
      <c r="I157" s="66" t="s">
        <v>300</v>
      </c>
      <c r="J157" s="67"/>
      <c r="K157" s="67" t="s">
        <v>75</v>
      </c>
      <c r="L157" s="66" t="s">
        <v>2242</v>
      </c>
      <c r="M157" s="70">
        <v>2000.6</v>
      </c>
      <c r="N157" s="71">
        <v>2020.277587890625</v>
      </c>
      <c r="O157" s="71">
        <v>9495.0185546875</v>
      </c>
      <c r="P157" s="72"/>
      <c r="Q157" s="73"/>
      <c r="R157" s="73"/>
      <c r="S157" s="87"/>
      <c r="T157" s="45">
        <v>1</v>
      </c>
      <c r="U157" s="45">
        <v>1</v>
      </c>
      <c r="V157" s="46">
        <v>0</v>
      </c>
      <c r="W157" s="46">
        <v>0</v>
      </c>
      <c r="X157" s="46">
        <v>0</v>
      </c>
      <c r="Y157" s="46">
        <v>0.004673</v>
      </c>
      <c r="Z157" s="46">
        <v>0</v>
      </c>
      <c r="AA157" s="46">
        <v>0</v>
      </c>
      <c r="AB157" s="68">
        <v>151</v>
      </c>
      <c r="AC157" s="68"/>
      <c r="AD157" s="69"/>
      <c r="AE157" s="76" t="s">
        <v>1475</v>
      </c>
      <c r="AF157" s="80" t="s">
        <v>1612</v>
      </c>
      <c r="AG157" s="76">
        <v>2635</v>
      </c>
      <c r="AH157" s="76">
        <v>4861</v>
      </c>
      <c r="AI157" s="76">
        <v>50243</v>
      </c>
      <c r="AJ157" s="76">
        <v>27</v>
      </c>
      <c r="AK157" s="76">
        <v>39414</v>
      </c>
      <c r="AL157" s="76">
        <v>2978</v>
      </c>
      <c r="AM157" s="76" t="b">
        <v>0</v>
      </c>
      <c r="AN157" s="78">
        <v>41802.36121527778</v>
      </c>
      <c r="AO157" s="76" t="s">
        <v>1715</v>
      </c>
      <c r="AP157" s="76" t="s">
        <v>1891</v>
      </c>
      <c r="AQ157" s="76"/>
      <c r="AR157" s="76"/>
      <c r="AS157" s="76"/>
      <c r="AT157" s="76"/>
      <c r="AU157" s="76"/>
      <c r="AV157" s="76"/>
      <c r="AW157" s="76">
        <v>1.3397837239406E+18</v>
      </c>
      <c r="AX157" s="76"/>
      <c r="AY157" s="76" t="b">
        <v>0</v>
      </c>
      <c r="AZ157" s="76"/>
      <c r="BA157" s="76"/>
      <c r="BB157" s="76" t="b">
        <v>0</v>
      </c>
      <c r="BC157" s="76" t="b">
        <v>0</v>
      </c>
      <c r="BD157" s="76" t="b">
        <v>0</v>
      </c>
      <c r="BE157" s="76" t="b">
        <v>0</v>
      </c>
      <c r="BF157" s="76" t="b">
        <v>0</v>
      </c>
      <c r="BG157" s="76" t="b">
        <v>0</v>
      </c>
      <c r="BH157" s="76" t="b">
        <v>0</v>
      </c>
      <c r="BI157" s="82" t="str">
        <f>HYPERLINK("https://pbs.twimg.com/profile_banners/2563016869/1655950880")</f>
        <v>https://pbs.twimg.com/profile_banners/2563016869/1655950880</v>
      </c>
      <c r="BJ157" s="76"/>
      <c r="BK157" s="76" t="s">
        <v>2092</v>
      </c>
      <c r="BL157" s="76" t="b">
        <v>0</v>
      </c>
      <c r="BM157" s="76"/>
      <c r="BN157" s="76" t="s">
        <v>66</v>
      </c>
      <c r="BO157" s="76" t="s">
        <v>2094</v>
      </c>
      <c r="BP157" s="82" t="str">
        <f>HYPERLINK("https://twitter.com/shannoncmallory")</f>
        <v>https://twitter.com/shannoncmallory</v>
      </c>
      <c r="BQ157" s="76" t="str">
        <f>REPLACE(INDEX(GroupVertices[Group],MATCH("~"&amp;Vertices[[#This Row],[Vertex]],GroupVertices[Vertex],0)),1,1,"")</f>
        <v>1</v>
      </c>
      <c r="BR157" s="45">
        <v>1</v>
      </c>
      <c r="BS157" s="46">
        <v>7.6923076923076925</v>
      </c>
      <c r="BT157" s="45">
        <v>1</v>
      </c>
      <c r="BU157" s="46">
        <v>7.6923076923076925</v>
      </c>
      <c r="BV157" s="45">
        <v>0</v>
      </c>
      <c r="BW157" s="46">
        <v>0</v>
      </c>
      <c r="BX157" s="45">
        <v>8</v>
      </c>
      <c r="BY157" s="46">
        <v>61.53846153846154</v>
      </c>
      <c r="BZ157" s="45">
        <v>13</v>
      </c>
      <c r="CA157" s="45" t="s">
        <v>10995</v>
      </c>
      <c r="CB157" s="45" t="s">
        <v>10995</v>
      </c>
      <c r="CC157" s="45" t="s">
        <v>606</v>
      </c>
      <c r="CD157" s="45" t="s">
        <v>606</v>
      </c>
      <c r="CE157" s="45" t="s">
        <v>592</v>
      </c>
      <c r="CF157" s="45" t="s">
        <v>592</v>
      </c>
      <c r="CG157" s="114" t="s">
        <v>11362</v>
      </c>
      <c r="CH157" s="114" t="s">
        <v>11362</v>
      </c>
      <c r="CI157" s="114" t="s">
        <v>11491</v>
      </c>
      <c r="CJ157" s="114" t="s">
        <v>11491</v>
      </c>
      <c r="CK157" s="2"/>
    </row>
    <row r="158" spans="1:89" ht="41.45" customHeight="1">
      <c r="A158" s="61" t="s">
        <v>301</v>
      </c>
      <c r="C158" s="62"/>
      <c r="D158" s="62" t="s">
        <v>64</v>
      </c>
      <c r="E158" s="63">
        <v>70</v>
      </c>
      <c r="F158" s="65"/>
      <c r="G158" s="101" t="str">
        <f>HYPERLINK("https://pbs.twimg.com/profile_images/1745328967383670784/RLduYug1_normal.jpg")</f>
        <v>https://pbs.twimg.com/profile_images/1745328967383670784/RLduYug1_normal.jpg</v>
      </c>
      <c r="H158" s="62"/>
      <c r="I158" s="66" t="s">
        <v>301</v>
      </c>
      <c r="J158" s="67"/>
      <c r="K158" s="67" t="s">
        <v>75</v>
      </c>
      <c r="L158" s="66" t="s">
        <v>2243</v>
      </c>
      <c r="M158" s="70">
        <v>2000.6</v>
      </c>
      <c r="N158" s="71">
        <v>248.42568969726562</v>
      </c>
      <c r="O158" s="71">
        <v>8587.8505859375</v>
      </c>
      <c r="P158" s="72"/>
      <c r="Q158" s="73"/>
      <c r="R158" s="73"/>
      <c r="S158" s="87"/>
      <c r="T158" s="45">
        <v>1</v>
      </c>
      <c r="U158" s="45">
        <v>1</v>
      </c>
      <c r="V158" s="46">
        <v>0</v>
      </c>
      <c r="W158" s="46">
        <v>0</v>
      </c>
      <c r="X158" s="46">
        <v>0</v>
      </c>
      <c r="Y158" s="46">
        <v>0.004673</v>
      </c>
      <c r="Z158" s="46">
        <v>0</v>
      </c>
      <c r="AA158" s="46">
        <v>0</v>
      </c>
      <c r="AB158" s="68">
        <v>152</v>
      </c>
      <c r="AC158" s="68"/>
      <c r="AD158" s="69"/>
      <c r="AE158" s="76" t="s">
        <v>1476</v>
      </c>
      <c r="AF158" s="80" t="s">
        <v>1273</v>
      </c>
      <c r="AG158" s="76">
        <v>1696</v>
      </c>
      <c r="AH158" s="76">
        <v>817</v>
      </c>
      <c r="AI158" s="76">
        <v>3071</v>
      </c>
      <c r="AJ158" s="76">
        <v>2</v>
      </c>
      <c r="AK158" s="76">
        <v>420</v>
      </c>
      <c r="AL158" s="76">
        <v>1572</v>
      </c>
      <c r="AM158" s="76" t="b">
        <v>0</v>
      </c>
      <c r="AN158" s="78">
        <v>43771.754537037035</v>
      </c>
      <c r="AO158" s="76" t="s">
        <v>855</v>
      </c>
      <c r="AP158" s="76" t="s">
        <v>1892</v>
      </c>
      <c r="AQ158" s="82" t="str">
        <f>HYPERLINK("https://t.co/RXL2ssyY5H")</f>
        <v>https://t.co/RXL2ssyY5H</v>
      </c>
      <c r="AR158" s="82" t="str">
        <f>HYPERLINK("http://meetpetertaylor.com")</f>
        <v>http://meetpetertaylor.com</v>
      </c>
      <c r="AS158" s="76" t="s">
        <v>2022</v>
      </c>
      <c r="AT158" s="76"/>
      <c r="AU158" s="76"/>
      <c r="AV158" s="76"/>
      <c r="AW158" s="76"/>
      <c r="AX158" s="82" t="str">
        <f>HYPERLINK("https://t.co/RXL2ssyY5H")</f>
        <v>https://t.co/RXL2ssyY5H</v>
      </c>
      <c r="AY158" s="76" t="b">
        <v>0</v>
      </c>
      <c r="AZ158" s="76"/>
      <c r="BA158" s="76"/>
      <c r="BB158" s="76" t="b">
        <v>0</v>
      </c>
      <c r="BC158" s="76" t="b">
        <v>1</v>
      </c>
      <c r="BD158" s="76" t="b">
        <v>1</v>
      </c>
      <c r="BE158" s="76" t="b">
        <v>0</v>
      </c>
      <c r="BF158" s="76" t="b">
        <v>0</v>
      </c>
      <c r="BG158" s="76" t="b">
        <v>0</v>
      </c>
      <c r="BH158" s="76" t="b">
        <v>0</v>
      </c>
      <c r="BI158" s="82" t="str">
        <f>HYPERLINK("https://pbs.twimg.com/profile_banners/1190691636235227136/1703396884")</f>
        <v>https://pbs.twimg.com/profile_banners/1190691636235227136/1703396884</v>
      </c>
      <c r="BJ158" s="76"/>
      <c r="BK158" s="76" t="s">
        <v>2092</v>
      </c>
      <c r="BL158" s="76" t="b">
        <v>0</v>
      </c>
      <c r="BM158" s="76"/>
      <c r="BN158" s="76" t="s">
        <v>66</v>
      </c>
      <c r="BO158" s="76" t="s">
        <v>2094</v>
      </c>
      <c r="BP158" s="82" t="str">
        <f>HYPERLINK("https://twitter.com/petertaylor_01")</f>
        <v>https://twitter.com/petertaylor_01</v>
      </c>
      <c r="BQ158" s="76" t="str">
        <f>REPLACE(INDEX(GroupVertices[Group],MATCH("~"&amp;Vertices[[#This Row],[Vertex]],GroupVertices[Vertex],0)),1,1,"")</f>
        <v>1</v>
      </c>
      <c r="BR158" s="45">
        <v>2</v>
      </c>
      <c r="BS158" s="46">
        <v>4.444444444444445</v>
      </c>
      <c r="BT158" s="45">
        <v>3</v>
      </c>
      <c r="BU158" s="46">
        <v>6.666666666666667</v>
      </c>
      <c r="BV158" s="45">
        <v>0</v>
      </c>
      <c r="BW158" s="46">
        <v>0</v>
      </c>
      <c r="BX158" s="45">
        <v>16</v>
      </c>
      <c r="BY158" s="46">
        <v>35.55555555555556</v>
      </c>
      <c r="BZ158" s="45">
        <v>45</v>
      </c>
      <c r="CA158" s="45"/>
      <c r="CB158" s="45"/>
      <c r="CC158" s="45"/>
      <c r="CD158" s="45"/>
      <c r="CE158" s="45" t="s">
        <v>593</v>
      </c>
      <c r="CF158" s="45" t="s">
        <v>11278</v>
      </c>
      <c r="CG158" s="114" t="s">
        <v>11363</v>
      </c>
      <c r="CH158" s="114" t="s">
        <v>11363</v>
      </c>
      <c r="CI158" s="114" t="s">
        <v>11492</v>
      </c>
      <c r="CJ158" s="114" t="s">
        <v>11492</v>
      </c>
      <c r="CK158" s="2"/>
    </row>
    <row r="159" spans="1:89" ht="41.45" customHeight="1">
      <c r="A159" s="61" t="s">
        <v>302</v>
      </c>
      <c r="C159" s="62"/>
      <c r="D159" s="62" t="s">
        <v>64</v>
      </c>
      <c r="E159" s="63">
        <v>70</v>
      </c>
      <c r="F159" s="65"/>
      <c r="G159" s="101" t="str">
        <f>HYPERLINK("https://pbs.twimg.com/profile_images/1743439784306233344/etKgqrKH_normal.jpg")</f>
        <v>https://pbs.twimg.com/profile_images/1743439784306233344/etKgqrKH_normal.jpg</v>
      </c>
      <c r="H159" s="62"/>
      <c r="I159" s="66" t="s">
        <v>302</v>
      </c>
      <c r="J159" s="67"/>
      <c r="K159" s="67" t="s">
        <v>75</v>
      </c>
      <c r="L159" s="66" t="s">
        <v>2244</v>
      </c>
      <c r="M159" s="70">
        <v>2000.6</v>
      </c>
      <c r="N159" s="71">
        <v>691.3887329101562</v>
      </c>
      <c r="O159" s="71">
        <v>8587.8505859375</v>
      </c>
      <c r="P159" s="72"/>
      <c r="Q159" s="73"/>
      <c r="R159" s="73"/>
      <c r="S159" s="87"/>
      <c r="T159" s="45">
        <v>1</v>
      </c>
      <c r="U159" s="45">
        <v>1</v>
      </c>
      <c r="V159" s="46">
        <v>0</v>
      </c>
      <c r="W159" s="46">
        <v>0</v>
      </c>
      <c r="X159" s="46">
        <v>0</v>
      </c>
      <c r="Y159" s="46">
        <v>0.004673</v>
      </c>
      <c r="Z159" s="46">
        <v>0</v>
      </c>
      <c r="AA159" s="46">
        <v>0</v>
      </c>
      <c r="AB159" s="68">
        <v>153</v>
      </c>
      <c r="AC159" s="68"/>
      <c r="AD159" s="69"/>
      <c r="AE159" s="76" t="s">
        <v>1477</v>
      </c>
      <c r="AF159" s="80" t="s">
        <v>1274</v>
      </c>
      <c r="AG159" s="76">
        <v>132</v>
      </c>
      <c r="AH159" s="76">
        <v>162</v>
      </c>
      <c r="AI159" s="76">
        <v>4537</v>
      </c>
      <c r="AJ159" s="76">
        <v>0</v>
      </c>
      <c r="AK159" s="76">
        <v>7400</v>
      </c>
      <c r="AL159" s="76">
        <v>89</v>
      </c>
      <c r="AM159" s="76" t="b">
        <v>0</v>
      </c>
      <c r="AN159" s="78">
        <v>43665.01755787037</v>
      </c>
      <c r="AO159" s="76" t="s">
        <v>852</v>
      </c>
      <c r="AP159" s="76" t="s">
        <v>1893</v>
      </c>
      <c r="AQ159" s="76"/>
      <c r="AR159" s="76"/>
      <c r="AS159" s="76"/>
      <c r="AT159" s="76"/>
      <c r="AU159" s="76"/>
      <c r="AV159" s="76"/>
      <c r="AW159" s="76"/>
      <c r="AX159" s="76"/>
      <c r="AY159" s="76" t="b">
        <v>0</v>
      </c>
      <c r="AZ159" s="76"/>
      <c r="BA159" s="76"/>
      <c r="BB159" s="76" t="b">
        <v>1</v>
      </c>
      <c r="BC159" s="76" t="b">
        <v>0</v>
      </c>
      <c r="BD159" s="76" t="b">
        <v>1</v>
      </c>
      <c r="BE159" s="76" t="b">
        <v>0</v>
      </c>
      <c r="BF159" s="76" t="b">
        <v>0</v>
      </c>
      <c r="BG159" s="76" t="b">
        <v>0</v>
      </c>
      <c r="BH159" s="76" t="b">
        <v>0</v>
      </c>
      <c r="BI159" s="82" t="str">
        <f>HYPERLINK("https://pbs.twimg.com/profile_banners/1152011489001107457/1636333209")</f>
        <v>https://pbs.twimg.com/profile_banners/1152011489001107457/1636333209</v>
      </c>
      <c r="BJ159" s="76"/>
      <c r="BK159" s="76" t="s">
        <v>2092</v>
      </c>
      <c r="BL159" s="76" t="b">
        <v>0</v>
      </c>
      <c r="BM159" s="76"/>
      <c r="BN159" s="76" t="s">
        <v>66</v>
      </c>
      <c r="BO159" s="76" t="s">
        <v>2094</v>
      </c>
      <c r="BP159" s="82" t="str">
        <f>HYPERLINK("https://twitter.com/alexiislex")</f>
        <v>https://twitter.com/alexiislex</v>
      </c>
      <c r="BQ159" s="76" t="str">
        <f>REPLACE(INDEX(GroupVertices[Group],MATCH("~"&amp;Vertices[[#This Row],[Vertex]],GroupVertices[Vertex],0)),1,1,"")</f>
        <v>1</v>
      </c>
      <c r="BR159" s="45">
        <v>0</v>
      </c>
      <c r="BS159" s="46">
        <v>0</v>
      </c>
      <c r="BT159" s="45">
        <v>3</v>
      </c>
      <c r="BU159" s="46">
        <v>12</v>
      </c>
      <c r="BV159" s="45">
        <v>0</v>
      </c>
      <c r="BW159" s="46">
        <v>0</v>
      </c>
      <c r="BX159" s="45">
        <v>11</v>
      </c>
      <c r="BY159" s="46">
        <v>44</v>
      </c>
      <c r="BZ159" s="45">
        <v>25</v>
      </c>
      <c r="CA159" s="45"/>
      <c r="CB159" s="45"/>
      <c r="CC159" s="45"/>
      <c r="CD159" s="45"/>
      <c r="CE159" s="45"/>
      <c r="CF159" s="45"/>
      <c r="CG159" s="114" t="s">
        <v>11364</v>
      </c>
      <c r="CH159" s="114" t="s">
        <v>11364</v>
      </c>
      <c r="CI159" s="114" t="s">
        <v>11493</v>
      </c>
      <c r="CJ159" s="114" t="s">
        <v>11493</v>
      </c>
      <c r="CK159" s="2"/>
    </row>
    <row r="160" spans="1:89" ht="41.45" customHeight="1">
      <c r="A160" s="61" t="s">
        <v>303</v>
      </c>
      <c r="C160" s="62"/>
      <c r="D160" s="62" t="s">
        <v>64</v>
      </c>
      <c r="E160" s="63">
        <v>70</v>
      </c>
      <c r="F160" s="65"/>
      <c r="G160" s="101" t="str">
        <f>HYPERLINK("https://pbs.twimg.com/profile_images/1344484370715840513/NBcFRkDf_normal.jpg")</f>
        <v>https://pbs.twimg.com/profile_images/1344484370715840513/NBcFRkDf_normal.jpg</v>
      </c>
      <c r="H160" s="62"/>
      <c r="I160" s="66" t="s">
        <v>303</v>
      </c>
      <c r="J160" s="67"/>
      <c r="K160" s="67" t="s">
        <v>75</v>
      </c>
      <c r="L160" s="66" t="s">
        <v>2245</v>
      </c>
      <c r="M160" s="70">
        <v>1</v>
      </c>
      <c r="N160" s="71">
        <v>8987.244140625</v>
      </c>
      <c r="O160" s="71">
        <v>1040.7225341796875</v>
      </c>
      <c r="P160" s="72"/>
      <c r="Q160" s="73"/>
      <c r="R160" s="73"/>
      <c r="S160" s="87"/>
      <c r="T160" s="45">
        <v>0</v>
      </c>
      <c r="U160" s="45">
        <v>1</v>
      </c>
      <c r="V160" s="46">
        <v>0</v>
      </c>
      <c r="W160" s="46">
        <v>0.004695</v>
      </c>
      <c r="X160" s="46">
        <v>0</v>
      </c>
      <c r="Y160" s="46">
        <v>0.004673</v>
      </c>
      <c r="Z160" s="46">
        <v>0</v>
      </c>
      <c r="AA160" s="46">
        <v>0</v>
      </c>
      <c r="AB160" s="68">
        <v>154</v>
      </c>
      <c r="AC160" s="68"/>
      <c r="AD160" s="69"/>
      <c r="AE160" s="76" t="s">
        <v>1478</v>
      </c>
      <c r="AF160" s="80" t="s">
        <v>1613</v>
      </c>
      <c r="AG160" s="76">
        <v>2327</v>
      </c>
      <c r="AH160" s="76">
        <v>3552</v>
      </c>
      <c r="AI160" s="76">
        <v>11273</v>
      </c>
      <c r="AJ160" s="76">
        <v>1</v>
      </c>
      <c r="AK160" s="76">
        <v>36293</v>
      </c>
      <c r="AL160" s="76">
        <v>2178</v>
      </c>
      <c r="AM160" s="76" t="b">
        <v>0</v>
      </c>
      <c r="AN160" s="78">
        <v>41518.235659722224</v>
      </c>
      <c r="AO160" s="76" t="s">
        <v>1716</v>
      </c>
      <c r="AP160" s="76" t="s">
        <v>1894</v>
      </c>
      <c r="AQ160" s="76"/>
      <c r="AR160" s="76"/>
      <c r="AS160" s="76"/>
      <c r="AT160" s="76"/>
      <c r="AU160" s="76"/>
      <c r="AV160" s="76"/>
      <c r="AW160" s="76">
        <v>1.68984399526096E+18</v>
      </c>
      <c r="AX160" s="76"/>
      <c r="AY160" s="76" t="b">
        <v>0</v>
      </c>
      <c r="AZ160" s="76"/>
      <c r="BA160" s="76"/>
      <c r="BB160" s="76" t="b">
        <v>1</v>
      </c>
      <c r="BC160" s="76" t="b">
        <v>0</v>
      </c>
      <c r="BD160" s="76" t="b">
        <v>1</v>
      </c>
      <c r="BE160" s="76" t="b">
        <v>0</v>
      </c>
      <c r="BF160" s="76" t="b">
        <v>1</v>
      </c>
      <c r="BG160" s="76" t="b">
        <v>0</v>
      </c>
      <c r="BH160" s="76" t="b">
        <v>0</v>
      </c>
      <c r="BI160" s="76"/>
      <c r="BJ160" s="76"/>
      <c r="BK160" s="76" t="s">
        <v>2092</v>
      </c>
      <c r="BL160" s="76" t="b">
        <v>0</v>
      </c>
      <c r="BM160" s="76"/>
      <c r="BN160" s="76" t="s">
        <v>66</v>
      </c>
      <c r="BO160" s="76" t="s">
        <v>2094</v>
      </c>
      <c r="BP160" s="82" t="str">
        <f>HYPERLINK("https://twitter.com/dickmar52")</f>
        <v>https://twitter.com/dickmar52</v>
      </c>
      <c r="BQ160" s="76" t="str">
        <f>REPLACE(INDEX(GroupVertices[Group],MATCH("~"&amp;Vertices[[#This Row],[Vertex]],GroupVertices[Vertex],0)),1,1,"")</f>
        <v>38</v>
      </c>
      <c r="BR160" s="45">
        <v>3</v>
      </c>
      <c r="BS160" s="46">
        <v>13.636363636363637</v>
      </c>
      <c r="BT160" s="45">
        <v>1</v>
      </c>
      <c r="BU160" s="46">
        <v>4.545454545454546</v>
      </c>
      <c r="BV160" s="45">
        <v>0</v>
      </c>
      <c r="BW160" s="46">
        <v>0</v>
      </c>
      <c r="BX160" s="45">
        <v>10</v>
      </c>
      <c r="BY160" s="46">
        <v>45.45454545454545</v>
      </c>
      <c r="BZ160" s="45">
        <v>22</v>
      </c>
      <c r="CA160" s="45"/>
      <c r="CB160" s="45"/>
      <c r="CC160" s="45"/>
      <c r="CD160" s="45"/>
      <c r="CE160" s="45"/>
      <c r="CF160" s="45"/>
      <c r="CG160" s="114" t="s">
        <v>11365</v>
      </c>
      <c r="CH160" s="114" t="s">
        <v>11365</v>
      </c>
      <c r="CI160" s="114" t="s">
        <v>11494</v>
      </c>
      <c r="CJ160" s="114" t="s">
        <v>11494</v>
      </c>
      <c r="CK160" s="2"/>
    </row>
    <row r="161" spans="1:89" ht="41.45" customHeight="1">
      <c r="A161" s="61" t="s">
        <v>405</v>
      </c>
      <c r="C161" s="62"/>
      <c r="D161" s="62" t="s">
        <v>64</v>
      </c>
      <c r="E161" s="63">
        <v>70</v>
      </c>
      <c r="F161" s="65"/>
      <c r="G161" s="101" t="str">
        <f>HYPERLINK("https://pbs.twimg.com/profile_images/1350896755525644288/UpAJ3QsL_normal.jpg")</f>
        <v>https://pbs.twimg.com/profile_images/1350896755525644288/UpAJ3QsL_normal.jpg</v>
      </c>
      <c r="H161" s="62"/>
      <c r="I161" s="66" t="s">
        <v>405</v>
      </c>
      <c r="J161" s="67"/>
      <c r="K161" s="67" t="s">
        <v>75</v>
      </c>
      <c r="L161" s="66" t="s">
        <v>2246</v>
      </c>
      <c r="M161" s="70">
        <v>2000.6</v>
      </c>
      <c r="N161" s="71">
        <v>8987.244140625</v>
      </c>
      <c r="O161" s="71">
        <v>380.50628662109375</v>
      </c>
      <c r="P161" s="72"/>
      <c r="Q161" s="73"/>
      <c r="R161" s="73"/>
      <c r="S161" s="87"/>
      <c r="T161" s="45">
        <v>1</v>
      </c>
      <c r="U161" s="45">
        <v>0</v>
      </c>
      <c r="V161" s="46">
        <v>0</v>
      </c>
      <c r="W161" s="46">
        <v>0.004695</v>
      </c>
      <c r="X161" s="46">
        <v>0</v>
      </c>
      <c r="Y161" s="46">
        <v>0.004673</v>
      </c>
      <c r="Z161" s="46">
        <v>0</v>
      </c>
      <c r="AA161" s="46">
        <v>0</v>
      </c>
      <c r="AB161" s="68">
        <v>155</v>
      </c>
      <c r="AC161" s="68"/>
      <c r="AD161" s="69"/>
      <c r="AE161" s="76" t="s">
        <v>1479</v>
      </c>
      <c r="AF161" s="80" t="s">
        <v>1186</v>
      </c>
      <c r="AG161" s="76">
        <v>521743</v>
      </c>
      <c r="AH161" s="76">
        <v>17531</v>
      </c>
      <c r="AI161" s="76">
        <v>36038</v>
      </c>
      <c r="AJ161" s="76">
        <v>1922</v>
      </c>
      <c r="AK161" s="76">
        <v>318603</v>
      </c>
      <c r="AL161" s="76">
        <v>3710</v>
      </c>
      <c r="AM161" s="76" t="b">
        <v>0</v>
      </c>
      <c r="AN161" s="78">
        <v>41126.653020833335</v>
      </c>
      <c r="AO161" s="76" t="s">
        <v>1717</v>
      </c>
      <c r="AP161" s="76" t="s">
        <v>1895</v>
      </c>
      <c r="AQ161" s="82" t="str">
        <f>HYPERLINK("https://t.co/1alfbqF3hE")</f>
        <v>https://t.co/1alfbqF3hE</v>
      </c>
      <c r="AR161" s="82" t="str">
        <f>HYPERLINK("https://www.instagram.com/lakota_man/?hl=en")</f>
        <v>https://www.instagram.com/lakota_man/?hl=en</v>
      </c>
      <c r="AS161" s="76" t="s">
        <v>2023</v>
      </c>
      <c r="AT161" s="76"/>
      <c r="AU161" s="76"/>
      <c r="AV161" s="76"/>
      <c r="AW161" s="76">
        <v>1.53002046140005E+18</v>
      </c>
      <c r="AX161" s="82" t="str">
        <f>HYPERLINK("https://t.co/1alfbqF3hE")</f>
        <v>https://t.co/1alfbqF3hE</v>
      </c>
      <c r="AY161" s="76" t="b">
        <v>0</v>
      </c>
      <c r="AZ161" s="76"/>
      <c r="BA161" s="76"/>
      <c r="BB161" s="76" t="b">
        <v>0</v>
      </c>
      <c r="BC161" s="76" t="b">
        <v>0</v>
      </c>
      <c r="BD161" s="76" t="b">
        <v>0</v>
      </c>
      <c r="BE161" s="76" t="b">
        <v>0</v>
      </c>
      <c r="BF161" s="76" t="b">
        <v>1</v>
      </c>
      <c r="BG161" s="76" t="b">
        <v>0</v>
      </c>
      <c r="BH161" s="76" t="b">
        <v>0</v>
      </c>
      <c r="BI161" s="82" t="str">
        <f>HYPERLINK("https://pbs.twimg.com/profile_banners/738779772/1515288030")</f>
        <v>https://pbs.twimg.com/profile_banners/738779772/1515288030</v>
      </c>
      <c r="BJ161" s="76"/>
      <c r="BK161" s="76" t="s">
        <v>2092</v>
      </c>
      <c r="BL161" s="76" t="b">
        <v>0</v>
      </c>
      <c r="BM161" s="76"/>
      <c r="BN161" s="76" t="s">
        <v>65</v>
      </c>
      <c r="BO161" s="76" t="s">
        <v>2094</v>
      </c>
      <c r="BP161" s="82" t="str">
        <f>HYPERLINK("https://twitter.com/lakotaman1")</f>
        <v>https://twitter.com/lakotaman1</v>
      </c>
      <c r="BQ161" s="76" t="str">
        <f>REPLACE(INDEX(GroupVertices[Group],MATCH("~"&amp;Vertices[[#This Row],[Vertex]],GroupVertices[Vertex],0)),1,1,"")</f>
        <v>38</v>
      </c>
      <c r="BR161" s="45"/>
      <c r="BS161" s="46"/>
      <c r="BT161" s="45"/>
      <c r="BU161" s="46"/>
      <c r="BV161" s="45"/>
      <c r="BW161" s="46"/>
      <c r="BX161" s="45"/>
      <c r="BY161" s="46"/>
      <c r="BZ161" s="45"/>
      <c r="CA161" s="45"/>
      <c r="CB161" s="45"/>
      <c r="CC161" s="45"/>
      <c r="CD161" s="45"/>
      <c r="CE161" s="45"/>
      <c r="CF161" s="45"/>
      <c r="CG161" s="45"/>
      <c r="CH161" s="45"/>
      <c r="CI161" s="45"/>
      <c r="CJ161" s="45"/>
      <c r="CK161" s="2"/>
    </row>
    <row r="162" spans="1:89" ht="41.45" customHeight="1">
      <c r="A162" s="61" t="s">
        <v>406</v>
      </c>
      <c r="C162" s="62"/>
      <c r="D162" s="62" t="s">
        <v>64</v>
      </c>
      <c r="E162" s="63">
        <v>70</v>
      </c>
      <c r="F162" s="65"/>
      <c r="G162" s="101" t="str">
        <f>HYPERLINK("https://pbs.twimg.com/profile_images/1727745403326447616/VeuA_JPQ_normal.jpg")</f>
        <v>https://pbs.twimg.com/profile_images/1727745403326447616/VeuA_JPQ_normal.jpg</v>
      </c>
      <c r="H162" s="62"/>
      <c r="I162" s="66" t="s">
        <v>406</v>
      </c>
      <c r="J162" s="67"/>
      <c r="K162" s="67" t="s">
        <v>75</v>
      </c>
      <c r="L162" s="66" t="s">
        <v>2248</v>
      </c>
      <c r="M162" s="70">
        <v>2000.6</v>
      </c>
      <c r="N162" s="71">
        <v>9404.2060546875</v>
      </c>
      <c r="O162" s="71">
        <v>9526.517578125</v>
      </c>
      <c r="P162" s="72"/>
      <c r="Q162" s="73"/>
      <c r="R162" s="73"/>
      <c r="S162" s="87"/>
      <c r="T162" s="45">
        <v>1</v>
      </c>
      <c r="U162" s="45">
        <v>0</v>
      </c>
      <c r="V162" s="46">
        <v>0</v>
      </c>
      <c r="W162" s="46">
        <v>0.00626</v>
      </c>
      <c r="X162" s="46">
        <v>0</v>
      </c>
      <c r="Y162" s="46">
        <v>0.004248</v>
      </c>
      <c r="Z162" s="46">
        <v>0</v>
      </c>
      <c r="AA162" s="46">
        <v>0</v>
      </c>
      <c r="AB162" s="68">
        <v>157</v>
      </c>
      <c r="AC162" s="68"/>
      <c r="AD162" s="69"/>
      <c r="AE162" s="76" t="s">
        <v>1481</v>
      </c>
      <c r="AF162" s="80" t="s">
        <v>1614</v>
      </c>
      <c r="AG162" s="76">
        <v>6118</v>
      </c>
      <c r="AH162" s="76">
        <v>955</v>
      </c>
      <c r="AI162" s="76">
        <v>17056</v>
      </c>
      <c r="AJ162" s="76">
        <v>20</v>
      </c>
      <c r="AK162" s="76">
        <v>117051</v>
      </c>
      <c r="AL162" s="76">
        <v>8196</v>
      </c>
      <c r="AM162" s="76" t="b">
        <v>0</v>
      </c>
      <c r="AN162" s="78">
        <v>41633.48752314815</v>
      </c>
      <c r="AO162" s="76" t="s">
        <v>1718</v>
      </c>
      <c r="AP162" s="76" t="s">
        <v>1897</v>
      </c>
      <c r="AQ162" s="82" t="str">
        <f>HYPERLINK("https://t.co/0G1pqSmGrY")</f>
        <v>https://t.co/0G1pqSmGrY</v>
      </c>
      <c r="AR162" s="82" t="str">
        <f>HYPERLINK("https://linktr.ee/deonteddj?utm_source=linktree_profile_share&amp;ltsid=349d378d-7565-4bad-9f78-aa683ab2")</f>
        <v>https://linktr.ee/deonteddj?utm_source=linktree_profile_share&amp;ltsid=349d378d-7565-4bad-9f78-aa683ab2</v>
      </c>
      <c r="AS162" s="76" t="s">
        <v>2024</v>
      </c>
      <c r="AT162" s="76"/>
      <c r="AU162" s="76"/>
      <c r="AV162" s="76"/>
      <c r="AW162" s="76">
        <v>1.63328270668659E+18</v>
      </c>
      <c r="AX162" s="82" t="str">
        <f>HYPERLINK("https://t.co/0G1pqSmGrY")</f>
        <v>https://t.co/0G1pqSmGrY</v>
      </c>
      <c r="AY162" s="76" t="b">
        <v>1</v>
      </c>
      <c r="AZ162" s="76"/>
      <c r="BA162" s="76"/>
      <c r="BB162" s="76" t="b">
        <v>1</v>
      </c>
      <c r="BC162" s="76" t="b">
        <v>1</v>
      </c>
      <c r="BD162" s="76" t="b">
        <v>0</v>
      </c>
      <c r="BE162" s="76" t="b">
        <v>0</v>
      </c>
      <c r="BF162" s="76" t="b">
        <v>1</v>
      </c>
      <c r="BG162" s="76" t="b">
        <v>0</v>
      </c>
      <c r="BH162" s="76" t="b">
        <v>0</v>
      </c>
      <c r="BI162" s="82" t="str">
        <f>HYPERLINK("https://pbs.twimg.com/profile_banners/2261393899/1700614217")</f>
        <v>https://pbs.twimg.com/profile_banners/2261393899/1700614217</v>
      </c>
      <c r="BJ162" s="76"/>
      <c r="BK162" s="76" t="s">
        <v>2092</v>
      </c>
      <c r="BL162" s="76" t="b">
        <v>0</v>
      </c>
      <c r="BM162" s="76"/>
      <c r="BN162" s="76" t="s">
        <v>65</v>
      </c>
      <c r="BO162" s="76" t="s">
        <v>2094</v>
      </c>
      <c r="BP162" s="82" t="str">
        <f>HYPERLINK("https://twitter.com/deonteddj")</f>
        <v>https://twitter.com/deonteddj</v>
      </c>
      <c r="BQ162" s="76" t="str">
        <f>REPLACE(INDEX(GroupVertices[Group],MATCH("~"&amp;Vertices[[#This Row],[Vertex]],GroupVertices[Vertex],0)),1,1,"")</f>
        <v>15</v>
      </c>
      <c r="BR162" s="45"/>
      <c r="BS162" s="46"/>
      <c r="BT162" s="45"/>
      <c r="BU162" s="46"/>
      <c r="BV162" s="45"/>
      <c r="BW162" s="46"/>
      <c r="BX162" s="45"/>
      <c r="BY162" s="46"/>
      <c r="BZ162" s="45"/>
      <c r="CA162" s="45"/>
      <c r="CB162" s="45"/>
      <c r="CC162" s="45"/>
      <c r="CD162" s="45"/>
      <c r="CE162" s="45"/>
      <c r="CF162" s="45"/>
      <c r="CG162" s="45"/>
      <c r="CH162" s="45"/>
      <c r="CI162" s="45"/>
      <c r="CJ162" s="45"/>
      <c r="CK162" s="2"/>
    </row>
    <row r="163" spans="1:89" ht="41.45" customHeight="1">
      <c r="A163" s="61" t="s">
        <v>407</v>
      </c>
      <c r="C163" s="62"/>
      <c r="D163" s="62" t="s">
        <v>64</v>
      </c>
      <c r="E163" s="63">
        <v>70</v>
      </c>
      <c r="F163" s="65"/>
      <c r="G163" s="101" t="str">
        <f>HYPERLINK("https://pbs.twimg.com/profile_images/1742776871207780352/Lwx2JoCI_normal.jpg")</f>
        <v>https://pbs.twimg.com/profile_images/1742776871207780352/Lwx2JoCI_normal.jpg</v>
      </c>
      <c r="H163" s="62"/>
      <c r="I163" s="66" t="s">
        <v>407</v>
      </c>
      <c r="J163" s="67"/>
      <c r="K163" s="67" t="s">
        <v>75</v>
      </c>
      <c r="L163" s="66" t="s">
        <v>2249</v>
      </c>
      <c r="M163" s="70">
        <v>2000.6</v>
      </c>
      <c r="N163" s="71">
        <v>9782.7724609375</v>
      </c>
      <c r="O163" s="71">
        <v>9526.517578125</v>
      </c>
      <c r="P163" s="72"/>
      <c r="Q163" s="73"/>
      <c r="R163" s="73"/>
      <c r="S163" s="87"/>
      <c r="T163" s="45">
        <v>1</v>
      </c>
      <c r="U163" s="45">
        <v>0</v>
      </c>
      <c r="V163" s="46">
        <v>0</v>
      </c>
      <c r="W163" s="46">
        <v>0.00626</v>
      </c>
      <c r="X163" s="46">
        <v>0</v>
      </c>
      <c r="Y163" s="46">
        <v>0.004248</v>
      </c>
      <c r="Z163" s="46">
        <v>0</v>
      </c>
      <c r="AA163" s="46">
        <v>0</v>
      </c>
      <c r="AB163" s="68">
        <v>158</v>
      </c>
      <c r="AC163" s="68"/>
      <c r="AD163" s="69"/>
      <c r="AE163" s="76" t="s">
        <v>1482</v>
      </c>
      <c r="AF163" s="80" t="s">
        <v>1615</v>
      </c>
      <c r="AG163" s="76">
        <v>890</v>
      </c>
      <c r="AH163" s="76">
        <v>866</v>
      </c>
      <c r="AI163" s="76">
        <v>8520</v>
      </c>
      <c r="AJ163" s="76">
        <v>3</v>
      </c>
      <c r="AK163" s="76">
        <v>6232</v>
      </c>
      <c r="AL163" s="76">
        <v>1031</v>
      </c>
      <c r="AM163" s="76" t="b">
        <v>0</v>
      </c>
      <c r="AN163" s="78">
        <v>44219.81351851852</v>
      </c>
      <c r="AO163" s="76"/>
      <c r="AP163" s="76" t="s">
        <v>1898</v>
      </c>
      <c r="AQ163" s="76"/>
      <c r="AR163" s="76"/>
      <c r="AS163" s="76"/>
      <c r="AT163" s="76"/>
      <c r="AU163" s="76"/>
      <c r="AV163" s="76"/>
      <c r="AW163" s="76">
        <v>1.75102853358418E+18</v>
      </c>
      <c r="AX163" s="76"/>
      <c r="AY163" s="76" t="b">
        <v>1</v>
      </c>
      <c r="AZ163" s="76"/>
      <c r="BA163" s="76"/>
      <c r="BB163" s="76" t="b">
        <v>0</v>
      </c>
      <c r="BC163" s="76" t="b">
        <v>1</v>
      </c>
      <c r="BD163" s="76" t="b">
        <v>1</v>
      </c>
      <c r="BE163" s="76" t="b">
        <v>0</v>
      </c>
      <c r="BF163" s="76" t="b">
        <v>1</v>
      </c>
      <c r="BG163" s="76" t="b">
        <v>0</v>
      </c>
      <c r="BH163" s="76" t="b">
        <v>0</v>
      </c>
      <c r="BI163" s="82" t="str">
        <f>HYPERLINK("https://pbs.twimg.com/profile_banners/1353062778085339141/1704345361")</f>
        <v>https://pbs.twimg.com/profile_banners/1353062778085339141/1704345361</v>
      </c>
      <c r="BJ163" s="76"/>
      <c r="BK163" s="76" t="s">
        <v>2092</v>
      </c>
      <c r="BL163" s="76" t="b">
        <v>0</v>
      </c>
      <c r="BM163" s="76"/>
      <c r="BN163" s="76" t="s">
        <v>65</v>
      </c>
      <c r="BO163" s="76" t="s">
        <v>2094</v>
      </c>
      <c r="BP163" s="82" t="str">
        <f>HYPERLINK("https://twitter.com/20minpromo")</f>
        <v>https://twitter.com/20minpromo</v>
      </c>
      <c r="BQ163" s="76" t="str">
        <f>REPLACE(INDEX(GroupVertices[Group],MATCH("~"&amp;Vertices[[#This Row],[Vertex]],GroupVertices[Vertex],0)),1,1,"")</f>
        <v>15</v>
      </c>
      <c r="BR163" s="45"/>
      <c r="BS163" s="46"/>
      <c r="BT163" s="45"/>
      <c r="BU163" s="46"/>
      <c r="BV163" s="45"/>
      <c r="BW163" s="46"/>
      <c r="BX163" s="45"/>
      <c r="BY163" s="46"/>
      <c r="BZ163" s="45"/>
      <c r="CA163" s="45"/>
      <c r="CB163" s="45"/>
      <c r="CC163" s="45"/>
      <c r="CD163" s="45"/>
      <c r="CE163" s="45"/>
      <c r="CF163" s="45"/>
      <c r="CG163" s="45"/>
      <c r="CH163" s="45"/>
      <c r="CI163" s="45"/>
      <c r="CJ163" s="45"/>
      <c r="CK163" s="2"/>
    </row>
    <row r="164" spans="1:89" ht="41.45" customHeight="1">
      <c r="A164" s="61" t="s">
        <v>307</v>
      </c>
      <c r="C164" s="62"/>
      <c r="D164" s="62" t="s">
        <v>64</v>
      </c>
      <c r="E164" s="63">
        <v>70</v>
      </c>
      <c r="F164" s="65"/>
      <c r="G164" s="101" t="str">
        <f>HYPERLINK("https://pbs.twimg.com/profile_images/1596714154340937728/ljbAcB07_normal.jpg")</f>
        <v>https://pbs.twimg.com/profile_images/1596714154340937728/ljbAcB07_normal.jpg</v>
      </c>
      <c r="H164" s="62"/>
      <c r="I164" s="66" t="s">
        <v>307</v>
      </c>
      <c r="J164" s="67"/>
      <c r="K164" s="67" t="s">
        <v>75</v>
      </c>
      <c r="L164" s="66" t="s">
        <v>2250</v>
      </c>
      <c r="M164" s="70">
        <v>1</v>
      </c>
      <c r="N164" s="71">
        <v>9652.7666015625</v>
      </c>
      <c r="O164" s="71">
        <v>1040.7225341796875</v>
      </c>
      <c r="P164" s="72"/>
      <c r="Q164" s="73"/>
      <c r="R164" s="73"/>
      <c r="S164" s="87"/>
      <c r="T164" s="45">
        <v>0</v>
      </c>
      <c r="U164" s="45">
        <v>1</v>
      </c>
      <c r="V164" s="46">
        <v>0</v>
      </c>
      <c r="W164" s="46">
        <v>0.004695</v>
      </c>
      <c r="X164" s="46">
        <v>0</v>
      </c>
      <c r="Y164" s="46">
        <v>0.004347</v>
      </c>
      <c r="Z164" s="46">
        <v>0</v>
      </c>
      <c r="AA164" s="46">
        <v>0</v>
      </c>
      <c r="AB164" s="68">
        <v>159</v>
      </c>
      <c r="AC164" s="68"/>
      <c r="AD164" s="69"/>
      <c r="AE164" s="76" t="s">
        <v>1483</v>
      </c>
      <c r="AF164" s="80" t="s">
        <v>1616</v>
      </c>
      <c r="AG164" s="76">
        <v>1315</v>
      </c>
      <c r="AH164" s="76">
        <v>738</v>
      </c>
      <c r="AI164" s="76">
        <v>55885</v>
      </c>
      <c r="AJ164" s="76">
        <v>35</v>
      </c>
      <c r="AK164" s="76">
        <v>50690</v>
      </c>
      <c r="AL164" s="76">
        <v>4416</v>
      </c>
      <c r="AM164" s="76" t="b">
        <v>0</v>
      </c>
      <c r="AN164" s="78">
        <v>40349.425104166665</v>
      </c>
      <c r="AO164" s="76" t="s">
        <v>852</v>
      </c>
      <c r="AP164" s="76" t="s">
        <v>1899</v>
      </c>
      <c r="AQ164" s="82" t="str">
        <f>HYPERLINK("https://t.co/TcGW8C3DjW")</f>
        <v>https://t.co/TcGW8C3DjW</v>
      </c>
      <c r="AR164" s="82" t="str">
        <f>HYPERLINK("https://linktr.ee/hannahcrazyhawk")</f>
        <v>https://linktr.ee/hannahcrazyhawk</v>
      </c>
      <c r="AS164" s="76" t="s">
        <v>2025</v>
      </c>
      <c r="AT164" s="76"/>
      <c r="AU164" s="76"/>
      <c r="AV164" s="76"/>
      <c r="AW164" s="76">
        <v>1.67246601446087E+18</v>
      </c>
      <c r="AX164" s="82" t="str">
        <f>HYPERLINK("https://t.co/TcGW8C3DjW")</f>
        <v>https://t.co/TcGW8C3DjW</v>
      </c>
      <c r="AY164" s="76" t="b">
        <v>0</v>
      </c>
      <c r="AZ164" s="76"/>
      <c r="BA164" s="76"/>
      <c r="BB164" s="76" t="b">
        <v>0</v>
      </c>
      <c r="BC164" s="76" t="b">
        <v>1</v>
      </c>
      <c r="BD164" s="76" t="b">
        <v>0</v>
      </c>
      <c r="BE164" s="76" t="b">
        <v>0</v>
      </c>
      <c r="BF164" s="76" t="b">
        <v>0</v>
      </c>
      <c r="BG164" s="76" t="b">
        <v>0</v>
      </c>
      <c r="BH164" s="76" t="b">
        <v>0</v>
      </c>
      <c r="BI164" s="82" t="str">
        <f>HYPERLINK("https://pbs.twimg.com/profile_banners/157617240/1631493318")</f>
        <v>https://pbs.twimg.com/profile_banners/157617240/1631493318</v>
      </c>
      <c r="BJ164" s="76"/>
      <c r="BK164" s="76" t="s">
        <v>2092</v>
      </c>
      <c r="BL164" s="76" t="b">
        <v>0</v>
      </c>
      <c r="BM164" s="76"/>
      <c r="BN164" s="76" t="s">
        <v>66</v>
      </c>
      <c r="BO164" s="76" t="s">
        <v>2094</v>
      </c>
      <c r="BP164" s="82" t="str">
        <f>HYPERLINK("https://twitter.com/hannahcrazyhawk")</f>
        <v>https://twitter.com/hannahcrazyhawk</v>
      </c>
      <c r="BQ164" s="76" t="str">
        <f>REPLACE(INDEX(GroupVertices[Group],MATCH("~"&amp;Vertices[[#This Row],[Vertex]],GroupVertices[Vertex],0)),1,1,"")</f>
        <v>37</v>
      </c>
      <c r="BR164" s="45">
        <v>0</v>
      </c>
      <c r="BS164" s="46">
        <v>0</v>
      </c>
      <c r="BT164" s="45">
        <v>4</v>
      </c>
      <c r="BU164" s="46">
        <v>7.2727272727272725</v>
      </c>
      <c r="BV164" s="45">
        <v>0</v>
      </c>
      <c r="BW164" s="46">
        <v>0</v>
      </c>
      <c r="BX164" s="45">
        <v>19</v>
      </c>
      <c r="BY164" s="46">
        <v>34.54545454545455</v>
      </c>
      <c r="BZ164" s="45">
        <v>55</v>
      </c>
      <c r="CA164" s="45"/>
      <c r="CB164" s="45"/>
      <c r="CC164" s="45"/>
      <c r="CD164" s="45"/>
      <c r="CE164" s="45" t="s">
        <v>594</v>
      </c>
      <c r="CF164" s="45" t="s">
        <v>594</v>
      </c>
      <c r="CG164" s="114" t="s">
        <v>11367</v>
      </c>
      <c r="CH164" s="114" t="s">
        <v>11367</v>
      </c>
      <c r="CI164" s="114" t="s">
        <v>11496</v>
      </c>
      <c r="CJ164" s="114" t="s">
        <v>11496</v>
      </c>
      <c r="CK164" s="2"/>
    </row>
    <row r="165" spans="1:89" ht="41.45" customHeight="1">
      <c r="A165" s="61" t="s">
        <v>320</v>
      </c>
      <c r="C165" s="62"/>
      <c r="D165" s="62" t="s">
        <v>64</v>
      </c>
      <c r="E165" s="63">
        <v>70</v>
      </c>
      <c r="F165" s="65"/>
      <c r="G165" s="101" t="str">
        <f>HYPERLINK("https://pbs.twimg.com/profile_images/1453942310173962254/JAQtfpiq_normal.jpg")</f>
        <v>https://pbs.twimg.com/profile_images/1453942310173962254/JAQtfpiq_normal.jpg</v>
      </c>
      <c r="H165" s="62"/>
      <c r="I165" s="66" t="s">
        <v>320</v>
      </c>
      <c r="J165" s="67"/>
      <c r="K165" s="67" t="s">
        <v>75</v>
      </c>
      <c r="L165" s="66" t="s">
        <v>2251</v>
      </c>
      <c r="M165" s="70">
        <v>4000.2</v>
      </c>
      <c r="N165" s="71">
        <v>9652.7666015625</v>
      </c>
      <c r="O165" s="71">
        <v>380.50628662109375</v>
      </c>
      <c r="P165" s="72"/>
      <c r="Q165" s="73"/>
      <c r="R165" s="73"/>
      <c r="S165" s="87"/>
      <c r="T165" s="45">
        <v>2</v>
      </c>
      <c r="U165" s="45">
        <v>1</v>
      </c>
      <c r="V165" s="46">
        <v>0</v>
      </c>
      <c r="W165" s="46">
        <v>0.004695</v>
      </c>
      <c r="X165" s="46">
        <v>0</v>
      </c>
      <c r="Y165" s="46">
        <v>0.004999</v>
      </c>
      <c r="Z165" s="46">
        <v>0</v>
      </c>
      <c r="AA165" s="46">
        <v>0</v>
      </c>
      <c r="AB165" s="68">
        <v>160</v>
      </c>
      <c r="AC165" s="68"/>
      <c r="AD165" s="69"/>
      <c r="AE165" s="76" t="s">
        <v>1484</v>
      </c>
      <c r="AF165" s="80" t="s">
        <v>1280</v>
      </c>
      <c r="AG165" s="76">
        <v>30774</v>
      </c>
      <c r="AH165" s="76">
        <v>20917</v>
      </c>
      <c r="AI165" s="76">
        <v>21078</v>
      </c>
      <c r="AJ165" s="76">
        <v>149</v>
      </c>
      <c r="AK165" s="76">
        <v>45837</v>
      </c>
      <c r="AL165" s="76">
        <v>156</v>
      </c>
      <c r="AM165" s="76" t="b">
        <v>0</v>
      </c>
      <c r="AN165" s="78">
        <v>43558.698229166665</v>
      </c>
      <c r="AO165" s="76" t="s">
        <v>1719</v>
      </c>
      <c r="AP165" s="76" t="s">
        <v>1900</v>
      </c>
      <c r="AQ165" s="82" t="str">
        <f>HYPERLINK("https://t.co/KYEEo3w76H")</f>
        <v>https://t.co/KYEEo3w76H</v>
      </c>
      <c r="AR165" s="82" t="str">
        <f>HYPERLINK("https://joannanobanana.com/product/when-the-world-falls-apart/")</f>
        <v>https://joannanobanana.com/product/when-the-world-falls-apart/</v>
      </c>
      <c r="AS165" s="76" t="s">
        <v>2026</v>
      </c>
      <c r="AT165" s="76"/>
      <c r="AU165" s="76"/>
      <c r="AV165" s="76"/>
      <c r="AW165" s="76">
        <v>1.73760248784499E+18</v>
      </c>
      <c r="AX165" s="82" t="str">
        <f>HYPERLINK("https://t.co/KYEEo3w76H")</f>
        <v>https://t.co/KYEEo3w76H</v>
      </c>
      <c r="AY165" s="76" t="b">
        <v>0</v>
      </c>
      <c r="AZ165" s="76"/>
      <c r="BA165" s="76"/>
      <c r="BB165" s="76" t="b">
        <v>0</v>
      </c>
      <c r="BC165" s="76" t="b">
        <v>1</v>
      </c>
      <c r="BD165" s="76" t="b">
        <v>0</v>
      </c>
      <c r="BE165" s="76" t="b">
        <v>0</v>
      </c>
      <c r="BF165" s="76" t="b">
        <v>1</v>
      </c>
      <c r="BG165" s="76" t="b">
        <v>0</v>
      </c>
      <c r="BH165" s="76" t="b">
        <v>0</v>
      </c>
      <c r="BI165" s="82" t="str">
        <f>HYPERLINK("https://pbs.twimg.com/profile_banners/1113482654354235392/1607653770")</f>
        <v>https://pbs.twimg.com/profile_banners/1113482654354235392/1607653770</v>
      </c>
      <c r="BJ165" s="76"/>
      <c r="BK165" s="76" t="s">
        <v>2092</v>
      </c>
      <c r="BL165" s="76" t="b">
        <v>0</v>
      </c>
      <c r="BM165" s="76"/>
      <c r="BN165" s="76" t="s">
        <v>66</v>
      </c>
      <c r="BO165" s="76" t="s">
        <v>2094</v>
      </c>
      <c r="BP165" s="82" t="str">
        <f>HYPERLINK("https://twitter.com/joannanobanana")</f>
        <v>https://twitter.com/joannanobanana</v>
      </c>
      <c r="BQ165" s="76" t="str">
        <f>REPLACE(INDEX(GroupVertices[Group],MATCH("~"&amp;Vertices[[#This Row],[Vertex]],GroupVertices[Vertex],0)),1,1,"")</f>
        <v>37</v>
      </c>
      <c r="BR165" s="45">
        <v>0</v>
      </c>
      <c r="BS165" s="46">
        <v>0</v>
      </c>
      <c r="BT165" s="45">
        <v>2</v>
      </c>
      <c r="BU165" s="46">
        <v>10.526315789473685</v>
      </c>
      <c r="BV165" s="45">
        <v>0</v>
      </c>
      <c r="BW165" s="46">
        <v>0</v>
      </c>
      <c r="BX165" s="45">
        <v>9</v>
      </c>
      <c r="BY165" s="46">
        <v>47.36842105263158</v>
      </c>
      <c r="BZ165" s="45">
        <v>19</v>
      </c>
      <c r="CA165" s="45"/>
      <c r="CB165" s="45"/>
      <c r="CC165" s="45"/>
      <c r="CD165" s="45"/>
      <c r="CE165" s="45"/>
      <c r="CF165" s="45"/>
      <c r="CG165" s="114" t="s">
        <v>11368</v>
      </c>
      <c r="CH165" s="114" t="s">
        <v>11368</v>
      </c>
      <c r="CI165" s="114" t="s">
        <v>11497</v>
      </c>
      <c r="CJ165" s="114" t="s">
        <v>11497</v>
      </c>
      <c r="CK165" s="2"/>
    </row>
    <row r="166" spans="1:89" ht="41.45" customHeight="1">
      <c r="A166" s="61" t="s">
        <v>308</v>
      </c>
      <c r="C166" s="62"/>
      <c r="D166" s="62" t="s">
        <v>64</v>
      </c>
      <c r="E166" s="63">
        <v>70</v>
      </c>
      <c r="F166" s="65"/>
      <c r="G166" s="101" t="str">
        <f>HYPERLINK("https://pbs.twimg.com/profile_images/1674992788155559936/Gx1lxpRR_normal.jpg")</f>
        <v>https://pbs.twimg.com/profile_images/1674992788155559936/Gx1lxpRR_normal.jpg</v>
      </c>
      <c r="H166" s="62"/>
      <c r="I166" s="66" t="s">
        <v>308</v>
      </c>
      <c r="J166" s="67"/>
      <c r="K166" s="67" t="s">
        <v>75</v>
      </c>
      <c r="L166" s="66" t="s">
        <v>2252</v>
      </c>
      <c r="M166" s="70">
        <v>2000.6</v>
      </c>
      <c r="N166" s="71">
        <v>9652.7666015625</v>
      </c>
      <c r="O166" s="71">
        <v>1750.0770263671875</v>
      </c>
      <c r="P166" s="72"/>
      <c r="Q166" s="73"/>
      <c r="R166" s="73"/>
      <c r="S166" s="87"/>
      <c r="T166" s="45">
        <v>1</v>
      </c>
      <c r="U166" s="45">
        <v>2</v>
      </c>
      <c r="V166" s="46">
        <v>0</v>
      </c>
      <c r="W166" s="46">
        <v>0.004695</v>
      </c>
      <c r="X166" s="46">
        <v>0</v>
      </c>
      <c r="Y166" s="46">
        <v>0.004999</v>
      </c>
      <c r="Z166" s="46">
        <v>0</v>
      </c>
      <c r="AA166" s="46">
        <v>0</v>
      </c>
      <c r="AB166" s="68">
        <v>161</v>
      </c>
      <c r="AC166" s="68"/>
      <c r="AD166" s="69"/>
      <c r="AE166" s="76" t="s">
        <v>1485</v>
      </c>
      <c r="AF166" s="80" t="s">
        <v>1275</v>
      </c>
      <c r="AG166" s="76">
        <v>292</v>
      </c>
      <c r="AH166" s="76">
        <v>1733</v>
      </c>
      <c r="AI166" s="76">
        <v>63499</v>
      </c>
      <c r="AJ166" s="76">
        <v>0</v>
      </c>
      <c r="AK166" s="76">
        <v>15600</v>
      </c>
      <c r="AL166" s="76">
        <v>15318</v>
      </c>
      <c r="AM166" s="76" t="b">
        <v>0</v>
      </c>
      <c r="AN166" s="78">
        <v>43612.63376157408</v>
      </c>
      <c r="AO166" s="76" t="s">
        <v>852</v>
      </c>
      <c r="AP166" s="76" t="s">
        <v>1901</v>
      </c>
      <c r="AQ166" s="82" t="str">
        <f>HYPERLINK("https://t.co/lP2FqzPiEr")</f>
        <v>https://t.co/lP2FqzPiEr</v>
      </c>
      <c r="AR166" s="82" t="str">
        <f>HYPERLINK("https://www.youtube.com/channel/UCGGjkJCnaMDFgBglqCkidWQ")</f>
        <v>https://www.youtube.com/channel/UCGGjkJCnaMDFgBglqCkidWQ</v>
      </c>
      <c r="AS166" s="76" t="s">
        <v>2027</v>
      </c>
      <c r="AT166" s="76"/>
      <c r="AU166" s="76"/>
      <c r="AV166" s="76"/>
      <c r="AW166" s="76">
        <v>1.73791749245727E+18</v>
      </c>
      <c r="AX166" s="82" t="str">
        <f>HYPERLINK("https://t.co/lP2FqzPiEr")</f>
        <v>https://t.co/lP2FqzPiEr</v>
      </c>
      <c r="AY166" s="76" t="b">
        <v>0</v>
      </c>
      <c r="AZ166" s="76"/>
      <c r="BA166" s="76"/>
      <c r="BB166" s="76" t="b">
        <v>0</v>
      </c>
      <c r="BC166" s="76" t="b">
        <v>1</v>
      </c>
      <c r="BD166" s="76" t="b">
        <v>1</v>
      </c>
      <c r="BE166" s="76" t="b">
        <v>0</v>
      </c>
      <c r="BF166" s="76" t="b">
        <v>1</v>
      </c>
      <c r="BG166" s="76" t="b">
        <v>0</v>
      </c>
      <c r="BH166" s="76" t="b">
        <v>0</v>
      </c>
      <c r="BI166" s="82" t="str">
        <f>HYPERLINK("https://pbs.twimg.com/profile_banners/1133028237947199489/1682121000")</f>
        <v>https://pbs.twimg.com/profile_banners/1133028237947199489/1682121000</v>
      </c>
      <c r="BJ166" s="76"/>
      <c r="BK166" s="76" t="s">
        <v>2092</v>
      </c>
      <c r="BL166" s="76" t="b">
        <v>0</v>
      </c>
      <c r="BM166" s="76"/>
      <c r="BN166" s="76" t="s">
        <v>66</v>
      </c>
      <c r="BO166" s="76" t="s">
        <v>2094</v>
      </c>
      <c r="BP166" s="82" t="str">
        <f>HYPERLINK("https://twitter.com/seiginotora_tm")</f>
        <v>https://twitter.com/seiginotora_tm</v>
      </c>
      <c r="BQ166" s="76" t="str">
        <f>REPLACE(INDEX(GroupVertices[Group],MATCH("~"&amp;Vertices[[#This Row],[Vertex]],GroupVertices[Vertex],0)),1,1,"")</f>
        <v>36</v>
      </c>
      <c r="BR166" s="45">
        <v>7</v>
      </c>
      <c r="BS166" s="46">
        <v>7.526881720430108</v>
      </c>
      <c r="BT166" s="45">
        <v>6</v>
      </c>
      <c r="BU166" s="46">
        <v>6.451612903225806</v>
      </c>
      <c r="BV166" s="45">
        <v>0</v>
      </c>
      <c r="BW166" s="46">
        <v>0</v>
      </c>
      <c r="BX166" s="45">
        <v>26</v>
      </c>
      <c r="BY166" s="46">
        <v>27.956989247311828</v>
      </c>
      <c r="BZ166" s="45">
        <v>93</v>
      </c>
      <c r="CA166" s="45"/>
      <c r="CB166" s="45"/>
      <c r="CC166" s="45"/>
      <c r="CD166" s="45"/>
      <c r="CE166" s="45"/>
      <c r="CF166" s="45"/>
      <c r="CG166" s="114" t="s">
        <v>11369</v>
      </c>
      <c r="CH166" s="114" t="s">
        <v>11369</v>
      </c>
      <c r="CI166" s="114" t="s">
        <v>11498</v>
      </c>
      <c r="CJ166" s="114" t="s">
        <v>11498</v>
      </c>
      <c r="CK166" s="2"/>
    </row>
    <row r="167" spans="1:89" ht="41.45" customHeight="1">
      <c r="A167" s="61" t="s">
        <v>408</v>
      </c>
      <c r="C167" s="62"/>
      <c r="D167" s="62" t="s">
        <v>64</v>
      </c>
      <c r="E167" s="63">
        <v>70</v>
      </c>
      <c r="F167" s="65"/>
      <c r="G167" s="101" t="str">
        <f>HYPERLINK("https://pbs.twimg.com/profile_images/1750761404737490944/LNVst5Mf_normal.png")</f>
        <v>https://pbs.twimg.com/profile_images/1750761404737490944/LNVst5Mf_normal.png</v>
      </c>
      <c r="H167" s="62"/>
      <c r="I167" s="66" t="s">
        <v>408</v>
      </c>
      <c r="J167" s="67"/>
      <c r="K167" s="67" t="s">
        <v>75</v>
      </c>
      <c r="L167" s="66" t="s">
        <v>2253</v>
      </c>
      <c r="M167" s="70">
        <v>2000.6</v>
      </c>
      <c r="N167" s="71">
        <v>9652.7666015625</v>
      </c>
      <c r="O167" s="71">
        <v>2407.773193359375</v>
      </c>
      <c r="P167" s="72"/>
      <c r="Q167" s="73"/>
      <c r="R167" s="73"/>
      <c r="S167" s="87"/>
      <c r="T167" s="45">
        <v>1</v>
      </c>
      <c r="U167" s="45">
        <v>0</v>
      </c>
      <c r="V167" s="46">
        <v>0</v>
      </c>
      <c r="W167" s="46">
        <v>0.004695</v>
      </c>
      <c r="X167" s="46">
        <v>0</v>
      </c>
      <c r="Y167" s="46">
        <v>0.004347</v>
      </c>
      <c r="Z167" s="46">
        <v>0</v>
      </c>
      <c r="AA167" s="46">
        <v>0</v>
      </c>
      <c r="AB167" s="68">
        <v>162</v>
      </c>
      <c r="AC167" s="68"/>
      <c r="AD167" s="69"/>
      <c r="AE167" s="76" t="s">
        <v>1486</v>
      </c>
      <c r="AF167" s="80" t="s">
        <v>1188</v>
      </c>
      <c r="AG167" s="76">
        <v>10884</v>
      </c>
      <c r="AH167" s="76">
        <v>179</v>
      </c>
      <c r="AI167" s="76">
        <v>24006</v>
      </c>
      <c r="AJ167" s="76">
        <v>46</v>
      </c>
      <c r="AK167" s="76">
        <v>104171</v>
      </c>
      <c r="AL167" s="76">
        <v>4161</v>
      </c>
      <c r="AM167" s="76" t="b">
        <v>0</v>
      </c>
      <c r="AN167" s="78">
        <v>42543.08505787037</v>
      </c>
      <c r="AO167" s="76" t="s">
        <v>1720</v>
      </c>
      <c r="AP167" s="76" t="s">
        <v>1902</v>
      </c>
      <c r="AQ167" s="82" t="str">
        <f>HYPERLINK("https://t.co/iEgiAvJzqx")</f>
        <v>https://t.co/iEgiAvJzqx</v>
      </c>
      <c r="AR167" s="82" t="str">
        <f>HYPERLINK("http://kiryussideburns.com")</f>
        <v>http://kiryussideburns.com</v>
      </c>
      <c r="AS167" s="76" t="s">
        <v>2028</v>
      </c>
      <c r="AT167" s="82" t="str">
        <f>HYPERLINK("https://t.co/BPD5pupZtx")</f>
        <v>https://t.co/BPD5pupZtx</v>
      </c>
      <c r="AU167" s="82" t="str">
        <f>HYPERLINK("http://patreon.com/kiryussideburns")</f>
        <v>http://patreon.com/kiryussideburns</v>
      </c>
      <c r="AV167" s="76" t="s">
        <v>2085</v>
      </c>
      <c r="AW167" s="76">
        <v>1.71435284779644E+18</v>
      </c>
      <c r="AX167" s="82" t="str">
        <f>HYPERLINK("https://t.co/iEgiAvJzqx")</f>
        <v>https://t.co/iEgiAvJzqx</v>
      </c>
      <c r="AY167" s="76" t="b">
        <v>0</v>
      </c>
      <c r="AZ167" s="76"/>
      <c r="BA167" s="76"/>
      <c r="BB167" s="76" t="b">
        <v>1</v>
      </c>
      <c r="BC167" s="76" t="b">
        <v>0</v>
      </c>
      <c r="BD167" s="76" t="b">
        <v>0</v>
      </c>
      <c r="BE167" s="76" t="b">
        <v>0</v>
      </c>
      <c r="BF167" s="76" t="b">
        <v>0</v>
      </c>
      <c r="BG167" s="76" t="b">
        <v>0</v>
      </c>
      <c r="BH167" s="76" t="b">
        <v>0</v>
      </c>
      <c r="BI167" s="82" t="str">
        <f>HYPERLINK("https://pbs.twimg.com/profile_banners/745436766375534593/1683583909")</f>
        <v>https://pbs.twimg.com/profile_banners/745436766375534593/1683583909</v>
      </c>
      <c r="BJ167" s="76"/>
      <c r="BK167" s="76" t="s">
        <v>2092</v>
      </c>
      <c r="BL167" s="76" t="b">
        <v>0</v>
      </c>
      <c r="BM167" s="76"/>
      <c r="BN167" s="76" t="s">
        <v>65</v>
      </c>
      <c r="BO167" s="76" t="s">
        <v>2094</v>
      </c>
      <c r="BP167" s="82" t="str">
        <f>HYPERLINK("https://twitter.com/kiryussideburns")</f>
        <v>https://twitter.com/kiryussideburns</v>
      </c>
      <c r="BQ167" s="76" t="str">
        <f>REPLACE(INDEX(GroupVertices[Group],MATCH("~"&amp;Vertices[[#This Row],[Vertex]],GroupVertices[Vertex],0)),1,1,"")</f>
        <v>36</v>
      </c>
      <c r="BR167" s="45"/>
      <c r="BS167" s="46"/>
      <c r="BT167" s="45"/>
      <c r="BU167" s="46"/>
      <c r="BV167" s="45"/>
      <c r="BW167" s="46"/>
      <c r="BX167" s="45"/>
      <c r="BY167" s="46"/>
      <c r="BZ167" s="45"/>
      <c r="CA167" s="45"/>
      <c r="CB167" s="45"/>
      <c r="CC167" s="45"/>
      <c r="CD167" s="45"/>
      <c r="CE167" s="45"/>
      <c r="CF167" s="45"/>
      <c r="CG167" s="45"/>
      <c r="CH167" s="45"/>
      <c r="CI167" s="45"/>
      <c r="CJ167" s="45"/>
      <c r="CK167" s="2"/>
    </row>
    <row r="168" spans="1:89" ht="41.45" customHeight="1">
      <c r="A168" s="61" t="s">
        <v>309</v>
      </c>
      <c r="C168" s="62"/>
      <c r="D168" s="62" t="s">
        <v>64</v>
      </c>
      <c r="E168" s="63">
        <v>70</v>
      </c>
      <c r="F168" s="65"/>
      <c r="G168" s="101" t="str">
        <f>HYPERLINK("https://pbs.twimg.com/profile_images/1731427977618190337/6OHyrX1G_normal.jpg")</f>
        <v>https://pbs.twimg.com/profile_images/1731427977618190337/6OHyrX1G_normal.jpg</v>
      </c>
      <c r="H168" s="62"/>
      <c r="I168" s="66" t="s">
        <v>309</v>
      </c>
      <c r="J168" s="67"/>
      <c r="K168" s="67" t="s">
        <v>75</v>
      </c>
      <c r="L168" s="66" t="s">
        <v>2254</v>
      </c>
      <c r="M168" s="70">
        <v>2000.6</v>
      </c>
      <c r="N168" s="71">
        <v>248.42568969726562</v>
      </c>
      <c r="O168" s="71">
        <v>6773.51611328125</v>
      </c>
      <c r="P168" s="72"/>
      <c r="Q168" s="73"/>
      <c r="R168" s="73"/>
      <c r="S168" s="87"/>
      <c r="T168" s="45">
        <v>1</v>
      </c>
      <c r="U168" s="45">
        <v>1</v>
      </c>
      <c r="V168" s="46">
        <v>0</v>
      </c>
      <c r="W168" s="46">
        <v>0</v>
      </c>
      <c r="X168" s="46">
        <v>0</v>
      </c>
      <c r="Y168" s="46">
        <v>0.004673</v>
      </c>
      <c r="Z168" s="46">
        <v>0</v>
      </c>
      <c r="AA168" s="46">
        <v>0</v>
      </c>
      <c r="AB168" s="68">
        <v>163</v>
      </c>
      <c r="AC168" s="68"/>
      <c r="AD168" s="69"/>
      <c r="AE168" s="76" t="s">
        <v>1487</v>
      </c>
      <c r="AF168" s="80" t="s">
        <v>1617</v>
      </c>
      <c r="AG168" s="76">
        <v>496</v>
      </c>
      <c r="AH168" s="76">
        <v>728</v>
      </c>
      <c r="AI168" s="76">
        <v>78282</v>
      </c>
      <c r="AJ168" s="76">
        <v>3</v>
      </c>
      <c r="AK168" s="76">
        <v>131785</v>
      </c>
      <c r="AL168" s="76">
        <v>460</v>
      </c>
      <c r="AM168" s="76" t="b">
        <v>0</v>
      </c>
      <c r="AN168" s="78">
        <v>41663.09241898148</v>
      </c>
      <c r="AO168" s="76" t="s">
        <v>852</v>
      </c>
      <c r="AP168" s="76" t="s">
        <v>1903</v>
      </c>
      <c r="AQ168" s="76"/>
      <c r="AR168" s="76"/>
      <c r="AS168" s="76"/>
      <c r="AT168" s="76"/>
      <c r="AU168" s="76"/>
      <c r="AV168" s="76"/>
      <c r="AW168" s="76">
        <v>1.32330617283799E+18</v>
      </c>
      <c r="AX168" s="76"/>
      <c r="AY168" s="76" t="b">
        <v>0</v>
      </c>
      <c r="AZ168" s="76"/>
      <c r="BA168" s="76"/>
      <c r="BB168" s="76" t="b">
        <v>0</v>
      </c>
      <c r="BC168" s="76" t="b">
        <v>0</v>
      </c>
      <c r="BD168" s="76" t="b">
        <v>1</v>
      </c>
      <c r="BE168" s="76" t="b">
        <v>0</v>
      </c>
      <c r="BF168" s="76" t="b">
        <v>0</v>
      </c>
      <c r="BG168" s="76" t="b">
        <v>0</v>
      </c>
      <c r="BH168" s="76" t="b">
        <v>0</v>
      </c>
      <c r="BI168" s="82" t="str">
        <f>HYPERLINK("https://pbs.twimg.com/profile_banners/2307566251/1595862762")</f>
        <v>https://pbs.twimg.com/profile_banners/2307566251/1595862762</v>
      </c>
      <c r="BJ168" s="76"/>
      <c r="BK168" s="76" t="s">
        <v>2092</v>
      </c>
      <c r="BL168" s="76" t="b">
        <v>0</v>
      </c>
      <c r="BM168" s="76"/>
      <c r="BN168" s="76" t="s">
        <v>66</v>
      </c>
      <c r="BO168" s="76" t="s">
        <v>2094</v>
      </c>
      <c r="BP168" s="82" t="str">
        <f>HYPERLINK("https://twitter.com/nickfent")</f>
        <v>https://twitter.com/nickfent</v>
      </c>
      <c r="BQ168" s="76" t="str">
        <f>REPLACE(INDEX(GroupVertices[Group],MATCH("~"&amp;Vertices[[#This Row],[Vertex]],GroupVertices[Vertex],0)),1,1,"")</f>
        <v>1</v>
      </c>
      <c r="BR168" s="45">
        <v>0</v>
      </c>
      <c r="BS168" s="46">
        <v>0</v>
      </c>
      <c r="BT168" s="45">
        <v>1</v>
      </c>
      <c r="BU168" s="46">
        <v>2.3255813953488373</v>
      </c>
      <c r="BV168" s="45">
        <v>0</v>
      </c>
      <c r="BW168" s="46">
        <v>0</v>
      </c>
      <c r="BX168" s="45">
        <v>17</v>
      </c>
      <c r="BY168" s="46">
        <v>39.53488372093023</v>
      </c>
      <c r="BZ168" s="45">
        <v>43</v>
      </c>
      <c r="CA168" s="45"/>
      <c r="CB168" s="45"/>
      <c r="CC168" s="45"/>
      <c r="CD168" s="45"/>
      <c r="CE168" s="45"/>
      <c r="CF168" s="45"/>
      <c r="CG168" s="114" t="s">
        <v>11370</v>
      </c>
      <c r="CH168" s="114" t="s">
        <v>11370</v>
      </c>
      <c r="CI168" s="114" t="s">
        <v>11499</v>
      </c>
      <c r="CJ168" s="114" t="s">
        <v>11499</v>
      </c>
      <c r="CK168" s="2"/>
    </row>
    <row r="169" spans="1:89" ht="41.45" customHeight="1">
      <c r="A169" s="61" t="s">
        <v>310</v>
      </c>
      <c r="C169" s="62"/>
      <c r="D169" s="62" t="s">
        <v>64</v>
      </c>
      <c r="E169" s="63">
        <v>70</v>
      </c>
      <c r="F169" s="65"/>
      <c r="G169" s="101" t="str">
        <f>HYPERLINK("https://pbs.twimg.com/profile_images/1520272245645475840/Q6FI7o5t_normal.jpg")</f>
        <v>https://pbs.twimg.com/profile_images/1520272245645475840/Q6FI7o5t_normal.jpg</v>
      </c>
      <c r="H169" s="62"/>
      <c r="I169" s="66" t="s">
        <v>310</v>
      </c>
      <c r="J169" s="67"/>
      <c r="K169" s="67" t="s">
        <v>75</v>
      </c>
      <c r="L169" s="66" t="s">
        <v>2255</v>
      </c>
      <c r="M169" s="70">
        <v>2000.6</v>
      </c>
      <c r="N169" s="71">
        <v>691.3887329101562</v>
      </c>
      <c r="O169" s="71">
        <v>6773.51611328125</v>
      </c>
      <c r="P169" s="72"/>
      <c r="Q169" s="73"/>
      <c r="R169" s="73"/>
      <c r="S169" s="87"/>
      <c r="T169" s="45">
        <v>1</v>
      </c>
      <c r="U169" s="45">
        <v>1</v>
      </c>
      <c r="V169" s="46">
        <v>0</v>
      </c>
      <c r="W169" s="46">
        <v>0</v>
      </c>
      <c r="X169" s="46">
        <v>0</v>
      </c>
      <c r="Y169" s="46">
        <v>0.004673</v>
      </c>
      <c r="Z169" s="46">
        <v>0</v>
      </c>
      <c r="AA169" s="46">
        <v>0</v>
      </c>
      <c r="AB169" s="68">
        <v>164</v>
      </c>
      <c r="AC169" s="68"/>
      <c r="AD169" s="69"/>
      <c r="AE169" s="76" t="s">
        <v>1488</v>
      </c>
      <c r="AF169" s="80" t="s">
        <v>1276</v>
      </c>
      <c r="AG169" s="76">
        <v>9513</v>
      </c>
      <c r="AH169" s="76">
        <v>9572</v>
      </c>
      <c r="AI169" s="76">
        <v>34711</v>
      </c>
      <c r="AJ169" s="76">
        <v>17</v>
      </c>
      <c r="AK169" s="76">
        <v>97810</v>
      </c>
      <c r="AL169" s="76">
        <v>1213</v>
      </c>
      <c r="AM169" s="76" t="b">
        <v>0</v>
      </c>
      <c r="AN169" s="78">
        <v>43162.83758101852</v>
      </c>
      <c r="AO169" s="76" t="s">
        <v>1721</v>
      </c>
      <c r="AP169" s="76" t="s">
        <v>1904</v>
      </c>
      <c r="AQ169" s="76"/>
      <c r="AR169" s="76"/>
      <c r="AS169" s="76"/>
      <c r="AT169" s="76"/>
      <c r="AU169" s="76"/>
      <c r="AV169" s="76"/>
      <c r="AW169" s="76">
        <v>1.48106218493145E+18</v>
      </c>
      <c r="AX169" s="76"/>
      <c r="AY169" s="76" t="b">
        <v>0</v>
      </c>
      <c r="AZ169" s="76"/>
      <c r="BA169" s="76"/>
      <c r="BB169" s="76" t="b">
        <v>0</v>
      </c>
      <c r="BC169" s="76" t="b">
        <v>1</v>
      </c>
      <c r="BD169" s="76" t="b">
        <v>1</v>
      </c>
      <c r="BE169" s="76" t="b">
        <v>0</v>
      </c>
      <c r="BF169" s="76" t="b">
        <v>1</v>
      </c>
      <c r="BG169" s="76" t="b">
        <v>0</v>
      </c>
      <c r="BH169" s="76" t="b">
        <v>0</v>
      </c>
      <c r="BI169" s="82" t="str">
        <f>HYPERLINK("https://pbs.twimg.com/profile_banners/970027558845661184/1660889963")</f>
        <v>https://pbs.twimg.com/profile_banners/970027558845661184/1660889963</v>
      </c>
      <c r="BJ169" s="76"/>
      <c r="BK169" s="76" t="s">
        <v>2092</v>
      </c>
      <c r="BL169" s="76" t="b">
        <v>0</v>
      </c>
      <c r="BM169" s="76"/>
      <c r="BN169" s="76" t="s">
        <v>66</v>
      </c>
      <c r="BO169" s="76" t="s">
        <v>2094</v>
      </c>
      <c r="BP169" s="82" t="str">
        <f>HYPERLINK("https://twitter.com/oddswithgop")</f>
        <v>https://twitter.com/oddswithgop</v>
      </c>
      <c r="BQ169" s="76" t="str">
        <f>REPLACE(INDEX(GroupVertices[Group],MATCH("~"&amp;Vertices[[#This Row],[Vertex]],GroupVertices[Vertex],0)),1,1,"")</f>
        <v>1</v>
      </c>
      <c r="BR169" s="45">
        <v>1</v>
      </c>
      <c r="BS169" s="46">
        <v>0.373134328358209</v>
      </c>
      <c r="BT169" s="45">
        <v>23</v>
      </c>
      <c r="BU169" s="46">
        <v>8.582089552238806</v>
      </c>
      <c r="BV169" s="45">
        <v>0</v>
      </c>
      <c r="BW169" s="46">
        <v>0</v>
      </c>
      <c r="BX169" s="45">
        <v>129</v>
      </c>
      <c r="BY169" s="46">
        <v>48.134328358208954</v>
      </c>
      <c r="BZ169" s="45">
        <v>268</v>
      </c>
      <c r="CA169" s="45"/>
      <c r="CB169" s="45"/>
      <c r="CC169" s="45"/>
      <c r="CD169" s="45"/>
      <c r="CE169" s="45"/>
      <c r="CF169" s="45"/>
      <c r="CG169" s="114" t="s">
        <v>11371</v>
      </c>
      <c r="CH169" s="114" t="s">
        <v>11404</v>
      </c>
      <c r="CI169" s="114" t="s">
        <v>11500</v>
      </c>
      <c r="CJ169" s="114" t="s">
        <v>11532</v>
      </c>
      <c r="CK169" s="2"/>
    </row>
    <row r="170" spans="1:89" ht="41.45" customHeight="1">
      <c r="A170" s="61" t="s">
        <v>409</v>
      </c>
      <c r="C170" s="62"/>
      <c r="D170" s="62" t="s">
        <v>64</v>
      </c>
      <c r="E170" s="63">
        <v>70</v>
      </c>
      <c r="F170" s="65"/>
      <c r="G170" s="101" t="str">
        <f>HYPERLINK("https://pbs.twimg.com/profile_images/1641221539038101505/Cugr1HdL_normal.jpg")</f>
        <v>https://pbs.twimg.com/profile_images/1641221539038101505/Cugr1HdL_normal.jpg</v>
      </c>
      <c r="H170" s="62"/>
      <c r="I170" s="66" t="s">
        <v>409</v>
      </c>
      <c r="J170" s="67"/>
      <c r="K170" s="67" t="s">
        <v>75</v>
      </c>
      <c r="L170" s="66" t="s">
        <v>2257</v>
      </c>
      <c r="M170" s="70">
        <v>2000.6</v>
      </c>
      <c r="N170" s="71">
        <v>5634.0361328125</v>
      </c>
      <c r="O170" s="71">
        <v>7902.435546875</v>
      </c>
      <c r="P170" s="72"/>
      <c r="Q170" s="73"/>
      <c r="R170" s="73"/>
      <c r="S170" s="87"/>
      <c r="T170" s="45">
        <v>1</v>
      </c>
      <c r="U170" s="45">
        <v>0</v>
      </c>
      <c r="V170" s="46">
        <v>0</v>
      </c>
      <c r="W170" s="46">
        <v>0.00626</v>
      </c>
      <c r="X170" s="46">
        <v>0</v>
      </c>
      <c r="Y170" s="46">
        <v>0.004248</v>
      </c>
      <c r="Z170" s="46">
        <v>0</v>
      </c>
      <c r="AA170" s="46">
        <v>0</v>
      </c>
      <c r="AB170" s="68">
        <v>166</v>
      </c>
      <c r="AC170" s="68"/>
      <c r="AD170" s="69"/>
      <c r="AE170" s="76" t="s">
        <v>1490</v>
      </c>
      <c r="AF170" s="80" t="s">
        <v>1618</v>
      </c>
      <c r="AG170" s="76">
        <v>79</v>
      </c>
      <c r="AH170" s="76">
        <v>669</v>
      </c>
      <c r="AI170" s="76">
        <v>1870</v>
      </c>
      <c r="AJ170" s="76">
        <v>2</v>
      </c>
      <c r="AK170" s="76">
        <v>84664</v>
      </c>
      <c r="AL170" s="76">
        <v>93</v>
      </c>
      <c r="AM170" s="76" t="b">
        <v>0</v>
      </c>
      <c r="AN170" s="78">
        <v>42625.845868055556</v>
      </c>
      <c r="AO170" s="76" t="s">
        <v>1723</v>
      </c>
      <c r="AP170" s="76" t="s">
        <v>1906</v>
      </c>
      <c r="AQ170" s="76"/>
      <c r="AR170" s="76"/>
      <c r="AS170" s="76"/>
      <c r="AT170" s="76"/>
      <c r="AU170" s="76"/>
      <c r="AV170" s="76"/>
      <c r="AW170" s="76">
        <v>1.68950841971406E+18</v>
      </c>
      <c r="AX170" s="76"/>
      <c r="AY170" s="76" t="b">
        <v>0</v>
      </c>
      <c r="AZ170" s="76"/>
      <c r="BA170" s="76"/>
      <c r="BB170" s="76" t="b">
        <v>0</v>
      </c>
      <c r="BC170" s="76" t="b">
        <v>0</v>
      </c>
      <c r="BD170" s="76" t="b">
        <v>1</v>
      </c>
      <c r="BE170" s="76" t="b">
        <v>0</v>
      </c>
      <c r="BF170" s="76" t="b">
        <v>1</v>
      </c>
      <c r="BG170" s="76" t="b">
        <v>0</v>
      </c>
      <c r="BH170" s="76" t="b">
        <v>0</v>
      </c>
      <c r="BI170" s="82" t="str">
        <f>HYPERLINK("https://pbs.twimg.com/profile_banners/775428280841363456/1692460570")</f>
        <v>https://pbs.twimg.com/profile_banners/775428280841363456/1692460570</v>
      </c>
      <c r="BJ170" s="76"/>
      <c r="BK170" s="76" t="s">
        <v>2092</v>
      </c>
      <c r="BL170" s="76" t="b">
        <v>0</v>
      </c>
      <c r="BM170" s="76"/>
      <c r="BN170" s="76" t="s">
        <v>65</v>
      </c>
      <c r="BO170" s="76" t="s">
        <v>2094</v>
      </c>
      <c r="BP170" s="82" t="str">
        <f>HYPERLINK("https://twitter.com/newworldanglo")</f>
        <v>https://twitter.com/newworldanglo</v>
      </c>
      <c r="BQ170" s="76" t="str">
        <f>REPLACE(INDEX(GroupVertices[Group],MATCH("~"&amp;Vertices[[#This Row],[Vertex]],GroupVertices[Vertex],0)),1,1,"")</f>
        <v>14</v>
      </c>
      <c r="BR170" s="45"/>
      <c r="BS170" s="46"/>
      <c r="BT170" s="45"/>
      <c r="BU170" s="46"/>
      <c r="BV170" s="45"/>
      <c r="BW170" s="46"/>
      <c r="BX170" s="45"/>
      <c r="BY170" s="46"/>
      <c r="BZ170" s="45"/>
      <c r="CA170" s="45"/>
      <c r="CB170" s="45"/>
      <c r="CC170" s="45"/>
      <c r="CD170" s="45"/>
      <c r="CE170" s="45"/>
      <c r="CF170" s="45"/>
      <c r="CG170" s="45"/>
      <c r="CH170" s="45"/>
      <c r="CI170" s="45"/>
      <c r="CJ170" s="45"/>
      <c r="CK170" s="2"/>
    </row>
    <row r="171" spans="1:89" ht="41.45" customHeight="1">
      <c r="A171" s="61" t="s">
        <v>410</v>
      </c>
      <c r="C171" s="62"/>
      <c r="D171" s="62" t="s">
        <v>64</v>
      </c>
      <c r="E171" s="63">
        <v>70</v>
      </c>
      <c r="F171" s="65"/>
      <c r="G171" s="101" t="str">
        <f>HYPERLINK("https://pbs.twimg.com/profile_images/1615785112079056905/-4iKnQ3Q_normal.jpg")</f>
        <v>https://pbs.twimg.com/profile_images/1615785112079056905/-4iKnQ3Q_normal.jpg</v>
      </c>
      <c r="H171" s="62"/>
      <c r="I171" s="66" t="s">
        <v>410</v>
      </c>
      <c r="J171" s="67"/>
      <c r="K171" s="67" t="s">
        <v>75</v>
      </c>
      <c r="L171" s="66" t="s">
        <v>2258</v>
      </c>
      <c r="M171" s="70">
        <v>2000.6</v>
      </c>
      <c r="N171" s="71">
        <v>5634.0361328125</v>
      </c>
      <c r="O171" s="71">
        <v>7287.57763671875</v>
      </c>
      <c r="P171" s="72"/>
      <c r="Q171" s="73"/>
      <c r="R171" s="73"/>
      <c r="S171" s="87"/>
      <c r="T171" s="45">
        <v>1</v>
      </c>
      <c r="U171" s="45">
        <v>0</v>
      </c>
      <c r="V171" s="46">
        <v>0</v>
      </c>
      <c r="W171" s="46">
        <v>0.00626</v>
      </c>
      <c r="X171" s="46">
        <v>0</v>
      </c>
      <c r="Y171" s="46">
        <v>0.004248</v>
      </c>
      <c r="Z171" s="46">
        <v>0</v>
      </c>
      <c r="AA171" s="46">
        <v>0</v>
      </c>
      <c r="AB171" s="68">
        <v>167</v>
      </c>
      <c r="AC171" s="68"/>
      <c r="AD171" s="69"/>
      <c r="AE171" s="76" t="s">
        <v>1491</v>
      </c>
      <c r="AF171" s="80" t="s">
        <v>1619</v>
      </c>
      <c r="AG171" s="76">
        <v>116</v>
      </c>
      <c r="AH171" s="76">
        <v>324</v>
      </c>
      <c r="AI171" s="76">
        <v>5794</v>
      </c>
      <c r="AJ171" s="76">
        <v>1</v>
      </c>
      <c r="AK171" s="76">
        <v>499438</v>
      </c>
      <c r="AL171" s="76">
        <v>179</v>
      </c>
      <c r="AM171" s="76" t="b">
        <v>0</v>
      </c>
      <c r="AN171" s="78">
        <v>44252.936585648145</v>
      </c>
      <c r="AO171" s="76" t="s">
        <v>1724</v>
      </c>
      <c r="AP171" s="76"/>
      <c r="AQ171" s="76"/>
      <c r="AR171" s="76"/>
      <c r="AS171" s="76"/>
      <c r="AT171" s="76"/>
      <c r="AU171" s="76"/>
      <c r="AV171" s="76"/>
      <c r="AW171" s="76"/>
      <c r="AX171" s="76"/>
      <c r="AY171" s="76" t="b">
        <v>0</v>
      </c>
      <c r="AZ171" s="76"/>
      <c r="BA171" s="76"/>
      <c r="BB171" s="76" t="b">
        <v>0</v>
      </c>
      <c r="BC171" s="76" t="b">
        <v>1</v>
      </c>
      <c r="BD171" s="76" t="b">
        <v>1</v>
      </c>
      <c r="BE171" s="76" t="b">
        <v>0</v>
      </c>
      <c r="BF171" s="76" t="b">
        <v>1</v>
      </c>
      <c r="BG171" s="76" t="b">
        <v>0</v>
      </c>
      <c r="BH171" s="76" t="b">
        <v>0</v>
      </c>
      <c r="BI171" s="82" t="str">
        <f>HYPERLINK("https://pbs.twimg.com/profile_banners/1365066117400702979/1674136047")</f>
        <v>https://pbs.twimg.com/profile_banners/1365066117400702979/1674136047</v>
      </c>
      <c r="BJ171" s="76"/>
      <c r="BK171" s="76" t="s">
        <v>2092</v>
      </c>
      <c r="BL171" s="76" t="b">
        <v>0</v>
      </c>
      <c r="BM171" s="76"/>
      <c r="BN171" s="76" t="s">
        <v>65</v>
      </c>
      <c r="BO171" s="76" t="s">
        <v>2094</v>
      </c>
      <c r="BP171" s="82" t="str">
        <f>HYPERLINK("https://twitter.com/maxmad39388773")</f>
        <v>https://twitter.com/maxmad39388773</v>
      </c>
      <c r="BQ171" s="76" t="str">
        <f>REPLACE(INDEX(GroupVertices[Group],MATCH("~"&amp;Vertices[[#This Row],[Vertex]],GroupVertices[Vertex],0)),1,1,"")</f>
        <v>14</v>
      </c>
      <c r="BR171" s="45"/>
      <c r="BS171" s="46"/>
      <c r="BT171" s="45"/>
      <c r="BU171" s="46"/>
      <c r="BV171" s="45"/>
      <c r="BW171" s="46"/>
      <c r="BX171" s="45"/>
      <c r="BY171" s="46"/>
      <c r="BZ171" s="45"/>
      <c r="CA171" s="45"/>
      <c r="CB171" s="45"/>
      <c r="CC171" s="45"/>
      <c r="CD171" s="45"/>
      <c r="CE171" s="45"/>
      <c r="CF171" s="45"/>
      <c r="CG171" s="45"/>
      <c r="CH171" s="45"/>
      <c r="CI171" s="45"/>
      <c r="CJ171" s="45"/>
      <c r="CK171" s="2"/>
    </row>
    <row r="172" spans="1:89" ht="41.45" customHeight="1">
      <c r="A172" s="61" t="s">
        <v>312</v>
      </c>
      <c r="C172" s="62"/>
      <c r="D172" s="62" t="s">
        <v>64</v>
      </c>
      <c r="E172" s="63">
        <v>70</v>
      </c>
      <c r="F172" s="65"/>
      <c r="G172" s="101" t="str">
        <f>HYPERLINK("https://pbs.twimg.com/profile_images/1608710889632583680/1taUYWyB_normal.jpg")</f>
        <v>https://pbs.twimg.com/profile_images/1608710889632583680/1taUYWyB_normal.jpg</v>
      </c>
      <c r="H172" s="62"/>
      <c r="I172" s="66" t="s">
        <v>312</v>
      </c>
      <c r="J172" s="67"/>
      <c r="K172" s="67" t="s">
        <v>75</v>
      </c>
      <c r="L172" s="66" t="s">
        <v>2259</v>
      </c>
      <c r="M172" s="70">
        <v>1</v>
      </c>
      <c r="N172" s="71">
        <v>8321.72265625</v>
      </c>
      <c r="O172" s="71">
        <v>1040.7225341796875</v>
      </c>
      <c r="P172" s="72"/>
      <c r="Q172" s="73"/>
      <c r="R172" s="73"/>
      <c r="S172" s="87"/>
      <c r="T172" s="45">
        <v>0</v>
      </c>
      <c r="U172" s="45">
        <v>1</v>
      </c>
      <c r="V172" s="46">
        <v>0</v>
      </c>
      <c r="W172" s="46">
        <v>0.004695</v>
      </c>
      <c r="X172" s="46">
        <v>0</v>
      </c>
      <c r="Y172" s="46">
        <v>0.004673</v>
      </c>
      <c r="Z172" s="46">
        <v>0</v>
      </c>
      <c r="AA172" s="46">
        <v>0</v>
      </c>
      <c r="AB172" s="68">
        <v>168</v>
      </c>
      <c r="AC172" s="68"/>
      <c r="AD172" s="69"/>
      <c r="AE172" s="76" t="s">
        <v>1492</v>
      </c>
      <c r="AF172" s="80" t="s">
        <v>1277</v>
      </c>
      <c r="AG172" s="76">
        <v>254</v>
      </c>
      <c r="AH172" s="76">
        <v>478</v>
      </c>
      <c r="AI172" s="76">
        <v>5777</v>
      </c>
      <c r="AJ172" s="76">
        <v>1</v>
      </c>
      <c r="AK172" s="76">
        <v>9966</v>
      </c>
      <c r="AL172" s="76">
        <v>138</v>
      </c>
      <c r="AM172" s="76" t="b">
        <v>0</v>
      </c>
      <c r="AN172" s="78">
        <v>44231.13568287037</v>
      </c>
      <c r="AO172" s="76" t="s">
        <v>852</v>
      </c>
      <c r="AP172" s="76"/>
      <c r="AQ172" s="76"/>
      <c r="AR172" s="76"/>
      <c r="AS172" s="76"/>
      <c r="AT172" s="76"/>
      <c r="AU172" s="76"/>
      <c r="AV172" s="76"/>
      <c r="AW172" s="76"/>
      <c r="AX172" s="76"/>
      <c r="AY172" s="76" t="b">
        <v>0</v>
      </c>
      <c r="AZ172" s="76"/>
      <c r="BA172" s="76"/>
      <c r="BB172" s="76" t="b">
        <v>0</v>
      </c>
      <c r="BC172" s="76" t="b">
        <v>1</v>
      </c>
      <c r="BD172" s="76" t="b">
        <v>1</v>
      </c>
      <c r="BE172" s="76" t="b">
        <v>0</v>
      </c>
      <c r="BF172" s="76" t="b">
        <v>0</v>
      </c>
      <c r="BG172" s="76" t="b">
        <v>0</v>
      </c>
      <c r="BH172" s="76" t="b">
        <v>0</v>
      </c>
      <c r="BI172" s="82" t="str">
        <f>HYPERLINK("https://pbs.twimg.com/profile_banners/1357165781205745664/1659678749")</f>
        <v>https://pbs.twimg.com/profile_banners/1357165781205745664/1659678749</v>
      </c>
      <c r="BJ172" s="76"/>
      <c r="BK172" s="76" t="s">
        <v>2092</v>
      </c>
      <c r="BL172" s="76" t="b">
        <v>0</v>
      </c>
      <c r="BM172" s="76"/>
      <c r="BN172" s="76" t="s">
        <v>66</v>
      </c>
      <c r="BO172" s="76" t="s">
        <v>2094</v>
      </c>
      <c r="BP172" s="82" t="str">
        <f>HYPERLINK("https://twitter.com/dutch52050550")</f>
        <v>https://twitter.com/dutch52050550</v>
      </c>
      <c r="BQ172" s="76" t="str">
        <f>REPLACE(INDEX(GroupVertices[Group],MATCH("~"&amp;Vertices[[#This Row],[Vertex]],GroupVertices[Vertex],0)),1,1,"")</f>
        <v>35</v>
      </c>
      <c r="BR172" s="45">
        <v>0</v>
      </c>
      <c r="BS172" s="46">
        <v>0</v>
      </c>
      <c r="BT172" s="45">
        <v>1</v>
      </c>
      <c r="BU172" s="46">
        <v>25</v>
      </c>
      <c r="BV172" s="45">
        <v>0</v>
      </c>
      <c r="BW172" s="46">
        <v>0</v>
      </c>
      <c r="BX172" s="45">
        <v>2</v>
      </c>
      <c r="BY172" s="46">
        <v>50</v>
      </c>
      <c r="BZ172" s="45">
        <v>4</v>
      </c>
      <c r="CA172" s="45"/>
      <c r="CB172" s="45"/>
      <c r="CC172" s="45"/>
      <c r="CD172" s="45"/>
      <c r="CE172" s="45"/>
      <c r="CF172" s="45"/>
      <c r="CG172" s="114" t="s">
        <v>11373</v>
      </c>
      <c r="CH172" s="114" t="s">
        <v>11373</v>
      </c>
      <c r="CI172" s="114" t="s">
        <v>11502</v>
      </c>
      <c r="CJ172" s="114" t="s">
        <v>11502</v>
      </c>
      <c r="CK172" s="2"/>
    </row>
    <row r="173" spans="1:89" ht="41.45" customHeight="1">
      <c r="A173" s="61" t="s">
        <v>411</v>
      </c>
      <c r="C173" s="62"/>
      <c r="D173" s="62" t="s">
        <v>64</v>
      </c>
      <c r="E173" s="63">
        <v>70</v>
      </c>
      <c r="F173" s="65"/>
      <c r="G173" s="101" t="str">
        <f>HYPERLINK("https://pbs.twimg.com/profile_images/1588581673473646595/93RQDigh_normal.jpg")</f>
        <v>https://pbs.twimg.com/profile_images/1588581673473646595/93RQDigh_normal.jpg</v>
      </c>
      <c r="H173" s="62"/>
      <c r="I173" s="66" t="s">
        <v>411</v>
      </c>
      <c r="J173" s="67"/>
      <c r="K173" s="67" t="s">
        <v>75</v>
      </c>
      <c r="L173" s="66" t="s">
        <v>2260</v>
      </c>
      <c r="M173" s="70">
        <v>2000.6</v>
      </c>
      <c r="N173" s="71">
        <v>8321.72265625</v>
      </c>
      <c r="O173" s="71">
        <v>380.50628662109375</v>
      </c>
      <c r="P173" s="72"/>
      <c r="Q173" s="73"/>
      <c r="R173" s="73"/>
      <c r="S173" s="87"/>
      <c r="T173" s="45">
        <v>1</v>
      </c>
      <c r="U173" s="45">
        <v>0</v>
      </c>
      <c r="V173" s="46">
        <v>0</v>
      </c>
      <c r="W173" s="46">
        <v>0.004695</v>
      </c>
      <c r="X173" s="46">
        <v>0</v>
      </c>
      <c r="Y173" s="46">
        <v>0.004673</v>
      </c>
      <c r="Z173" s="46">
        <v>0</v>
      </c>
      <c r="AA173" s="46">
        <v>0</v>
      </c>
      <c r="AB173" s="68">
        <v>169</v>
      </c>
      <c r="AC173" s="68"/>
      <c r="AD173" s="69"/>
      <c r="AE173" s="76" t="s">
        <v>1493</v>
      </c>
      <c r="AF173" s="80" t="s">
        <v>1190</v>
      </c>
      <c r="AG173" s="76">
        <v>1289974</v>
      </c>
      <c r="AH173" s="76">
        <v>8</v>
      </c>
      <c r="AI173" s="76">
        <v>1070</v>
      </c>
      <c r="AJ173" s="76">
        <v>1373</v>
      </c>
      <c r="AK173" s="76">
        <v>38</v>
      </c>
      <c r="AL173" s="76">
        <v>1057</v>
      </c>
      <c r="AM173" s="76" t="b">
        <v>0</v>
      </c>
      <c r="AN173" s="78">
        <v>44484.40005787037</v>
      </c>
      <c r="AO173" s="76"/>
      <c r="AP173" s="76" t="s">
        <v>1907</v>
      </c>
      <c r="AQ173" s="76"/>
      <c r="AR173" s="76"/>
      <c r="AS173" s="76"/>
      <c r="AT173" s="76"/>
      <c r="AU173" s="76"/>
      <c r="AV173" s="76"/>
      <c r="AW173" s="76"/>
      <c r="AX173" s="76"/>
      <c r="AY173" s="76" t="b">
        <v>1</v>
      </c>
      <c r="AZ173" s="76"/>
      <c r="BA173" s="76"/>
      <c r="BB173" s="76" t="b">
        <v>1</v>
      </c>
      <c r="BC173" s="76" t="b">
        <v>1</v>
      </c>
      <c r="BD173" s="76" t="b">
        <v>1</v>
      </c>
      <c r="BE173" s="76" t="b">
        <v>0</v>
      </c>
      <c r="BF173" s="76" t="b">
        <v>1</v>
      </c>
      <c r="BG173" s="76" t="b">
        <v>0</v>
      </c>
      <c r="BH173" s="76" t="b">
        <v>0</v>
      </c>
      <c r="BI173" s="82" t="str">
        <f>HYPERLINK("https://pbs.twimg.com/profile_banners/1448945734590533685/1669921541")</f>
        <v>https://pbs.twimg.com/profile_banners/1448945734590533685/1669921541</v>
      </c>
      <c r="BJ173" s="76"/>
      <c r="BK173" s="76" t="s">
        <v>2092</v>
      </c>
      <c r="BL173" s="76" t="b">
        <v>0</v>
      </c>
      <c r="BM173" s="76"/>
      <c r="BN173" s="76" t="s">
        <v>65</v>
      </c>
      <c r="BO173" s="76" t="s">
        <v>2094</v>
      </c>
      <c r="BP173" s="82" t="str">
        <f>HYPERLINK("https://twitter.com/streetfighthard")</f>
        <v>https://twitter.com/streetfighthard</v>
      </c>
      <c r="BQ173" s="76" t="str">
        <f>REPLACE(INDEX(GroupVertices[Group],MATCH("~"&amp;Vertices[[#This Row],[Vertex]],GroupVertices[Vertex],0)),1,1,"")</f>
        <v>35</v>
      </c>
      <c r="BR173" s="45"/>
      <c r="BS173" s="46"/>
      <c r="BT173" s="45"/>
      <c r="BU173" s="46"/>
      <c r="BV173" s="45"/>
      <c r="BW173" s="46"/>
      <c r="BX173" s="45"/>
      <c r="BY173" s="46"/>
      <c r="BZ173" s="45"/>
      <c r="CA173" s="45"/>
      <c r="CB173" s="45"/>
      <c r="CC173" s="45"/>
      <c r="CD173" s="45"/>
      <c r="CE173" s="45"/>
      <c r="CF173" s="45"/>
      <c r="CG173" s="45"/>
      <c r="CH173" s="45"/>
      <c r="CI173" s="45"/>
      <c r="CJ173" s="45"/>
      <c r="CK173" s="2"/>
    </row>
    <row r="174" spans="1:89" ht="41.45" customHeight="1">
      <c r="A174" s="61" t="s">
        <v>412</v>
      </c>
      <c r="C174" s="62"/>
      <c r="D174" s="62" t="s">
        <v>64</v>
      </c>
      <c r="E174" s="63">
        <v>70</v>
      </c>
      <c r="F174" s="65"/>
      <c r="G174" s="101" t="str">
        <f>HYPERLINK("https://pbs.twimg.com/profile_images/1747354891494785024/QksAmoiR_normal.jpg")</f>
        <v>https://pbs.twimg.com/profile_images/1747354891494785024/QksAmoiR_normal.jpg</v>
      </c>
      <c r="H174" s="62"/>
      <c r="I174" s="66" t="s">
        <v>412</v>
      </c>
      <c r="J174" s="67"/>
      <c r="K174" s="67" t="s">
        <v>75</v>
      </c>
      <c r="L174" s="66" t="s">
        <v>2262</v>
      </c>
      <c r="M174" s="70">
        <v>2000.6</v>
      </c>
      <c r="N174" s="71">
        <v>6641.07666015625</v>
      </c>
      <c r="O174" s="71">
        <v>9526.517578125</v>
      </c>
      <c r="P174" s="72"/>
      <c r="Q174" s="73"/>
      <c r="R174" s="73"/>
      <c r="S174" s="87"/>
      <c r="T174" s="45">
        <v>1</v>
      </c>
      <c r="U174" s="45">
        <v>0</v>
      </c>
      <c r="V174" s="46">
        <v>0</v>
      </c>
      <c r="W174" s="46">
        <v>0.00626</v>
      </c>
      <c r="X174" s="46">
        <v>0</v>
      </c>
      <c r="Y174" s="46">
        <v>0.004368</v>
      </c>
      <c r="Z174" s="46">
        <v>0</v>
      </c>
      <c r="AA174" s="46">
        <v>0</v>
      </c>
      <c r="AB174" s="68">
        <v>171</v>
      </c>
      <c r="AC174" s="68"/>
      <c r="AD174" s="69"/>
      <c r="AE174" s="76" t="s">
        <v>1495</v>
      </c>
      <c r="AF174" s="80" t="s">
        <v>1621</v>
      </c>
      <c r="AG174" s="76">
        <v>4493</v>
      </c>
      <c r="AH174" s="76">
        <v>874</v>
      </c>
      <c r="AI174" s="76">
        <v>19562</v>
      </c>
      <c r="AJ174" s="76">
        <v>7</v>
      </c>
      <c r="AK174" s="76">
        <v>149145</v>
      </c>
      <c r="AL174" s="76">
        <v>102</v>
      </c>
      <c r="AM174" s="76" t="b">
        <v>0</v>
      </c>
      <c r="AN174" s="78">
        <v>41156.87987268518</v>
      </c>
      <c r="AO174" s="76" t="s">
        <v>1726</v>
      </c>
      <c r="AP174" s="76" t="s">
        <v>1909</v>
      </c>
      <c r="AQ174" s="82" t="str">
        <f>HYPERLINK("https://t.co/MHvCsThcLs")</f>
        <v>https://t.co/MHvCsThcLs</v>
      </c>
      <c r="AR174" s="82" t="str">
        <f>HYPERLINK("http://wadeturnbull.wordpress.com")</f>
        <v>http://wadeturnbull.wordpress.com</v>
      </c>
      <c r="AS174" s="76" t="s">
        <v>2029</v>
      </c>
      <c r="AT174" s="76"/>
      <c r="AU174" s="76"/>
      <c r="AV174" s="76"/>
      <c r="AW174" s="76">
        <v>1.74454727436401E+18</v>
      </c>
      <c r="AX174" s="82" t="str">
        <f>HYPERLINK("https://t.co/MHvCsThcLs")</f>
        <v>https://t.co/MHvCsThcLs</v>
      </c>
      <c r="AY174" s="76" t="b">
        <v>0</v>
      </c>
      <c r="AZ174" s="76"/>
      <c r="BA174" s="76"/>
      <c r="BB174" s="76" t="b">
        <v>0</v>
      </c>
      <c r="BC174" s="76" t="b">
        <v>0</v>
      </c>
      <c r="BD174" s="76" t="b">
        <v>0</v>
      </c>
      <c r="BE174" s="76" t="b">
        <v>0</v>
      </c>
      <c r="BF174" s="76" t="b">
        <v>0</v>
      </c>
      <c r="BG174" s="76" t="b">
        <v>0</v>
      </c>
      <c r="BH174" s="76" t="b">
        <v>0</v>
      </c>
      <c r="BI174" s="82" t="str">
        <f>HYPERLINK("https://pbs.twimg.com/profile_banners/803208264/1596403706")</f>
        <v>https://pbs.twimg.com/profile_banners/803208264/1596403706</v>
      </c>
      <c r="BJ174" s="76"/>
      <c r="BK174" s="76" t="s">
        <v>2092</v>
      </c>
      <c r="BL174" s="76" t="b">
        <v>0</v>
      </c>
      <c r="BM174" s="76"/>
      <c r="BN174" s="76" t="s">
        <v>65</v>
      </c>
      <c r="BO174" s="76" t="s">
        <v>2094</v>
      </c>
      <c r="BP174" s="82" t="str">
        <f>HYPERLINK("https://twitter.com/wadeturnbull")</f>
        <v>https://twitter.com/wadeturnbull</v>
      </c>
      <c r="BQ174" s="76" t="str">
        <f>REPLACE(INDEX(GroupVertices[Group],MATCH("~"&amp;Vertices[[#This Row],[Vertex]],GroupVertices[Vertex],0)),1,1,"")</f>
        <v>13</v>
      </c>
      <c r="BR174" s="45"/>
      <c r="BS174" s="46"/>
      <c r="BT174" s="45"/>
      <c r="BU174" s="46"/>
      <c r="BV174" s="45"/>
      <c r="BW174" s="46"/>
      <c r="BX174" s="45"/>
      <c r="BY174" s="46"/>
      <c r="BZ174" s="45"/>
      <c r="CA174" s="45"/>
      <c r="CB174" s="45"/>
      <c r="CC174" s="45"/>
      <c r="CD174" s="45"/>
      <c r="CE174" s="45"/>
      <c r="CF174" s="45"/>
      <c r="CG174" s="45"/>
      <c r="CH174" s="45"/>
      <c r="CI174" s="45"/>
      <c r="CJ174" s="45"/>
      <c r="CK174" s="2"/>
    </row>
    <row r="175" spans="1:89" ht="41.45" customHeight="1">
      <c r="A175" s="61" t="s">
        <v>413</v>
      </c>
      <c r="C175" s="62"/>
      <c r="D175" s="62" t="s">
        <v>64</v>
      </c>
      <c r="E175" s="63">
        <v>70</v>
      </c>
      <c r="F175" s="65"/>
      <c r="G175" s="101" t="str">
        <f>HYPERLINK("https://pbs.twimg.com/profile_images/1303216999804198912/lPASQxc4_normal.jpg")</f>
        <v>https://pbs.twimg.com/profile_images/1303216999804198912/lPASQxc4_normal.jpg</v>
      </c>
      <c r="H175" s="62"/>
      <c r="I175" s="66" t="s">
        <v>413</v>
      </c>
      <c r="J175" s="67"/>
      <c r="K175" s="67" t="s">
        <v>75</v>
      </c>
      <c r="L175" s="66" t="s">
        <v>2263</v>
      </c>
      <c r="M175" s="70">
        <v>2000.6</v>
      </c>
      <c r="N175" s="71">
        <v>6262.51025390625</v>
      </c>
      <c r="O175" s="71">
        <v>8682.34765625</v>
      </c>
      <c r="P175" s="72"/>
      <c r="Q175" s="73"/>
      <c r="R175" s="73"/>
      <c r="S175" s="87"/>
      <c r="T175" s="45">
        <v>1</v>
      </c>
      <c r="U175" s="45">
        <v>0</v>
      </c>
      <c r="V175" s="46">
        <v>0</v>
      </c>
      <c r="W175" s="46">
        <v>0.00626</v>
      </c>
      <c r="X175" s="46">
        <v>0</v>
      </c>
      <c r="Y175" s="46">
        <v>0.004368</v>
      </c>
      <c r="Z175" s="46">
        <v>0</v>
      </c>
      <c r="AA175" s="46">
        <v>0</v>
      </c>
      <c r="AB175" s="68">
        <v>172</v>
      </c>
      <c r="AC175" s="68"/>
      <c r="AD175" s="69"/>
      <c r="AE175" s="76" t="s">
        <v>1496</v>
      </c>
      <c r="AF175" s="80" t="s">
        <v>1191</v>
      </c>
      <c r="AG175" s="76">
        <v>3663</v>
      </c>
      <c r="AH175" s="76">
        <v>3352</v>
      </c>
      <c r="AI175" s="76">
        <v>77715</v>
      </c>
      <c r="AJ175" s="76">
        <v>60</v>
      </c>
      <c r="AK175" s="76">
        <v>105496</v>
      </c>
      <c r="AL175" s="76">
        <v>725</v>
      </c>
      <c r="AM175" s="76" t="b">
        <v>0</v>
      </c>
      <c r="AN175" s="78">
        <v>40241.68084490741</v>
      </c>
      <c r="AO175" s="76" t="s">
        <v>1727</v>
      </c>
      <c r="AP175" s="76" t="s">
        <v>1910</v>
      </c>
      <c r="AQ175" s="76"/>
      <c r="AR175" s="76"/>
      <c r="AS175" s="76"/>
      <c r="AT175" s="76"/>
      <c r="AU175" s="76"/>
      <c r="AV175" s="76"/>
      <c r="AW175" s="76">
        <v>8.5403404943369E+17</v>
      </c>
      <c r="AX175" s="76"/>
      <c r="AY175" s="76" t="b">
        <v>0</v>
      </c>
      <c r="AZ175" s="76"/>
      <c r="BA175" s="76"/>
      <c r="BB175" s="76" t="b">
        <v>0</v>
      </c>
      <c r="BC175" s="76" t="b">
        <v>1</v>
      </c>
      <c r="BD175" s="76" t="b">
        <v>1</v>
      </c>
      <c r="BE175" s="76" t="b">
        <v>0</v>
      </c>
      <c r="BF175" s="76" t="b">
        <v>0</v>
      </c>
      <c r="BG175" s="76" t="b">
        <v>0</v>
      </c>
      <c r="BH175" s="76" t="b">
        <v>0</v>
      </c>
      <c r="BI175" s="82" t="str">
        <f>HYPERLINK("https://pbs.twimg.com/profile_banners/119775366/1588643276")</f>
        <v>https://pbs.twimg.com/profile_banners/119775366/1588643276</v>
      </c>
      <c r="BJ175" s="76"/>
      <c r="BK175" s="76" t="s">
        <v>2092</v>
      </c>
      <c r="BL175" s="76" t="b">
        <v>0</v>
      </c>
      <c r="BM175" s="76"/>
      <c r="BN175" s="76" t="s">
        <v>65</v>
      </c>
      <c r="BO175" s="76" t="s">
        <v>2094</v>
      </c>
      <c r="BP175" s="82" t="str">
        <f>HYPERLINK("https://twitter.com/marypop987")</f>
        <v>https://twitter.com/marypop987</v>
      </c>
      <c r="BQ175" s="76" t="str">
        <f>REPLACE(INDEX(GroupVertices[Group],MATCH("~"&amp;Vertices[[#This Row],[Vertex]],GroupVertices[Vertex],0)),1,1,"")</f>
        <v>13</v>
      </c>
      <c r="BR175" s="45"/>
      <c r="BS175" s="46"/>
      <c r="BT175" s="45"/>
      <c r="BU175" s="46"/>
      <c r="BV175" s="45"/>
      <c r="BW175" s="46"/>
      <c r="BX175" s="45"/>
      <c r="BY175" s="46"/>
      <c r="BZ175" s="45"/>
      <c r="CA175" s="45"/>
      <c r="CB175" s="45"/>
      <c r="CC175" s="45"/>
      <c r="CD175" s="45"/>
      <c r="CE175" s="45"/>
      <c r="CF175" s="45"/>
      <c r="CG175" s="45"/>
      <c r="CH175" s="45"/>
      <c r="CI175" s="45"/>
      <c r="CJ175" s="45"/>
      <c r="CK175" s="2"/>
    </row>
    <row r="176" spans="1:89" ht="41.45" customHeight="1">
      <c r="A176" s="61" t="s">
        <v>314</v>
      </c>
      <c r="C176" s="62"/>
      <c r="D176" s="62" t="s">
        <v>64</v>
      </c>
      <c r="E176" s="63">
        <v>70</v>
      </c>
      <c r="F176" s="65"/>
      <c r="G176" s="101" t="str">
        <f>HYPERLINK("https://pbs.twimg.com/profile_images/1730702967630901248/lNf0-VjA_normal.jpg")</f>
        <v>https://pbs.twimg.com/profile_images/1730702967630901248/lNf0-VjA_normal.jpg</v>
      </c>
      <c r="H176" s="62"/>
      <c r="I176" s="66" t="s">
        <v>314</v>
      </c>
      <c r="J176" s="67"/>
      <c r="K176" s="67" t="s">
        <v>75</v>
      </c>
      <c r="L176" s="66" t="s">
        <v>2264</v>
      </c>
      <c r="M176" s="70">
        <v>1</v>
      </c>
      <c r="N176" s="71">
        <v>8987.244140625</v>
      </c>
      <c r="O176" s="71">
        <v>2407.773193359375</v>
      </c>
      <c r="P176" s="72"/>
      <c r="Q176" s="73"/>
      <c r="R176" s="73"/>
      <c r="S176" s="87"/>
      <c r="T176" s="45">
        <v>0</v>
      </c>
      <c r="U176" s="45">
        <v>1</v>
      </c>
      <c r="V176" s="46">
        <v>0</v>
      </c>
      <c r="W176" s="46">
        <v>0.004695</v>
      </c>
      <c r="X176" s="46">
        <v>0</v>
      </c>
      <c r="Y176" s="46">
        <v>0.004673</v>
      </c>
      <c r="Z176" s="46">
        <v>0</v>
      </c>
      <c r="AA176" s="46">
        <v>0</v>
      </c>
      <c r="AB176" s="68">
        <v>173</v>
      </c>
      <c r="AC176" s="68"/>
      <c r="AD176" s="69"/>
      <c r="AE176" s="76" t="s">
        <v>1497</v>
      </c>
      <c r="AF176" s="80" t="s">
        <v>1622</v>
      </c>
      <c r="AG176" s="76">
        <v>428</v>
      </c>
      <c r="AH176" s="76">
        <v>794</v>
      </c>
      <c r="AI176" s="76">
        <v>23883</v>
      </c>
      <c r="AJ176" s="76">
        <v>15</v>
      </c>
      <c r="AK176" s="76">
        <v>17175</v>
      </c>
      <c r="AL176" s="76">
        <v>4046</v>
      </c>
      <c r="AM176" s="76" t="b">
        <v>0</v>
      </c>
      <c r="AN176" s="78">
        <v>40999.75251157407</v>
      </c>
      <c r="AO176" s="76" t="s">
        <v>1728</v>
      </c>
      <c r="AP176" s="76" t="s">
        <v>1911</v>
      </c>
      <c r="AQ176" s="76"/>
      <c r="AR176" s="76"/>
      <c r="AS176" s="76"/>
      <c r="AT176" s="76"/>
      <c r="AU176" s="76"/>
      <c r="AV176" s="76"/>
      <c r="AW176" s="76">
        <v>1.36733545100295E+18</v>
      </c>
      <c r="AX176" s="76"/>
      <c r="AY176" s="76" t="b">
        <v>0</v>
      </c>
      <c r="AZ176" s="76"/>
      <c r="BA176" s="76"/>
      <c r="BB176" s="76" t="b">
        <v>1</v>
      </c>
      <c r="BC176" s="76" t="b">
        <v>0</v>
      </c>
      <c r="BD176" s="76" t="b">
        <v>0</v>
      </c>
      <c r="BE176" s="76" t="b">
        <v>0</v>
      </c>
      <c r="BF176" s="76" t="b">
        <v>1</v>
      </c>
      <c r="BG176" s="76" t="b">
        <v>0</v>
      </c>
      <c r="BH176" s="76" t="b">
        <v>0</v>
      </c>
      <c r="BI176" s="82" t="str">
        <f>HYPERLINK("https://pbs.twimg.com/profile_banners/541855177/1428993216")</f>
        <v>https://pbs.twimg.com/profile_banners/541855177/1428993216</v>
      </c>
      <c r="BJ176" s="76"/>
      <c r="BK176" s="76" t="s">
        <v>2092</v>
      </c>
      <c r="BL176" s="76" t="b">
        <v>0</v>
      </c>
      <c r="BM176" s="76"/>
      <c r="BN176" s="76" t="s">
        <v>66</v>
      </c>
      <c r="BO176" s="76" t="s">
        <v>2094</v>
      </c>
      <c r="BP176" s="82" t="str">
        <f>HYPERLINK("https://twitter.com/beelofosho")</f>
        <v>https://twitter.com/beelofosho</v>
      </c>
      <c r="BQ176" s="76" t="str">
        <f>REPLACE(INDEX(GroupVertices[Group],MATCH("~"&amp;Vertices[[#This Row],[Vertex]],GroupVertices[Vertex],0)),1,1,"")</f>
        <v>34</v>
      </c>
      <c r="BR176" s="45">
        <v>1</v>
      </c>
      <c r="BS176" s="46">
        <v>2</v>
      </c>
      <c r="BT176" s="45">
        <v>1</v>
      </c>
      <c r="BU176" s="46">
        <v>2</v>
      </c>
      <c r="BV176" s="45">
        <v>0</v>
      </c>
      <c r="BW176" s="46">
        <v>0</v>
      </c>
      <c r="BX176" s="45">
        <v>24</v>
      </c>
      <c r="BY176" s="46">
        <v>48</v>
      </c>
      <c r="BZ176" s="45">
        <v>50</v>
      </c>
      <c r="CA176" s="45"/>
      <c r="CB176" s="45"/>
      <c r="CC176" s="45"/>
      <c r="CD176" s="45"/>
      <c r="CE176" s="45"/>
      <c r="CF176" s="45"/>
      <c r="CG176" s="114" t="s">
        <v>11375</v>
      </c>
      <c r="CH176" s="114" t="s">
        <v>11375</v>
      </c>
      <c r="CI176" s="114" t="s">
        <v>11504</v>
      </c>
      <c r="CJ176" s="114" t="s">
        <v>11504</v>
      </c>
      <c r="CK176" s="2"/>
    </row>
    <row r="177" spans="1:89" ht="41.45" customHeight="1">
      <c r="A177" s="61" t="s">
        <v>414</v>
      </c>
      <c r="C177" s="62"/>
      <c r="D177" s="62" t="s">
        <v>64</v>
      </c>
      <c r="E177" s="63">
        <v>70</v>
      </c>
      <c r="F177" s="65"/>
      <c r="G177" s="101" t="str">
        <f>HYPERLINK("https://pbs.twimg.com/profile_images/1655349085761863680/hbCJup9y_normal.jpg")</f>
        <v>https://pbs.twimg.com/profile_images/1655349085761863680/hbCJup9y_normal.jpg</v>
      </c>
      <c r="H177" s="62"/>
      <c r="I177" s="66" t="s">
        <v>414</v>
      </c>
      <c r="J177" s="67"/>
      <c r="K177" s="67" t="s">
        <v>75</v>
      </c>
      <c r="L177" s="66" t="s">
        <v>2265</v>
      </c>
      <c r="M177" s="70">
        <v>2000.6</v>
      </c>
      <c r="N177" s="71">
        <v>8987.244140625</v>
      </c>
      <c r="O177" s="71">
        <v>1750.0770263671875</v>
      </c>
      <c r="P177" s="72"/>
      <c r="Q177" s="73"/>
      <c r="R177" s="73"/>
      <c r="S177" s="87"/>
      <c r="T177" s="45">
        <v>1</v>
      </c>
      <c r="U177" s="45">
        <v>0</v>
      </c>
      <c r="V177" s="46">
        <v>0</v>
      </c>
      <c r="W177" s="46">
        <v>0.004695</v>
      </c>
      <c r="X177" s="46">
        <v>0</v>
      </c>
      <c r="Y177" s="46">
        <v>0.004673</v>
      </c>
      <c r="Z177" s="46">
        <v>0</v>
      </c>
      <c r="AA177" s="46">
        <v>0</v>
      </c>
      <c r="AB177" s="68">
        <v>174</v>
      </c>
      <c r="AC177" s="68"/>
      <c r="AD177" s="69"/>
      <c r="AE177" s="76" t="s">
        <v>1498</v>
      </c>
      <c r="AF177" s="80" t="s">
        <v>1192</v>
      </c>
      <c r="AG177" s="76">
        <v>2374</v>
      </c>
      <c r="AH177" s="76">
        <v>466</v>
      </c>
      <c r="AI177" s="76">
        <v>8072</v>
      </c>
      <c r="AJ177" s="76">
        <v>280</v>
      </c>
      <c r="AK177" s="76">
        <v>90642</v>
      </c>
      <c r="AL177" s="76">
        <v>415</v>
      </c>
      <c r="AM177" s="76" t="b">
        <v>0</v>
      </c>
      <c r="AN177" s="78">
        <v>40066.804027777776</v>
      </c>
      <c r="AO177" s="76" t="s">
        <v>852</v>
      </c>
      <c r="AP177" s="76" t="s">
        <v>1912</v>
      </c>
      <c r="AQ177" s="82" t="str">
        <f>HYPERLINK("https://t.co/mRTcT1qmZ1")</f>
        <v>https://t.co/mRTcT1qmZ1</v>
      </c>
      <c r="AR177" s="82" t="str">
        <f>HYPERLINK("https://rayterrill.com")</f>
        <v>https://rayterrill.com</v>
      </c>
      <c r="AS177" s="76" t="s">
        <v>2030</v>
      </c>
      <c r="AT177" s="76"/>
      <c r="AU177" s="76"/>
      <c r="AV177" s="76"/>
      <c r="AW177" s="76"/>
      <c r="AX177" s="82" t="str">
        <f>HYPERLINK("https://t.co/mRTcT1qmZ1")</f>
        <v>https://t.co/mRTcT1qmZ1</v>
      </c>
      <c r="AY177" s="76" t="b">
        <v>0</v>
      </c>
      <c r="AZ177" s="76"/>
      <c r="BA177" s="76"/>
      <c r="BB177" s="76" t="b">
        <v>0</v>
      </c>
      <c r="BC177" s="76" t="b">
        <v>0</v>
      </c>
      <c r="BD177" s="76" t="b">
        <v>1</v>
      </c>
      <c r="BE177" s="76" t="b">
        <v>0</v>
      </c>
      <c r="BF177" s="76" t="b">
        <v>1</v>
      </c>
      <c r="BG177" s="76" t="b">
        <v>0</v>
      </c>
      <c r="BH177" s="76" t="b">
        <v>0</v>
      </c>
      <c r="BI177" s="82" t="str">
        <f>HYPERLINK("https://pbs.twimg.com/profile_banners/73195756/1425753147")</f>
        <v>https://pbs.twimg.com/profile_banners/73195756/1425753147</v>
      </c>
      <c r="BJ177" s="76"/>
      <c r="BK177" s="76" t="s">
        <v>2092</v>
      </c>
      <c r="BL177" s="76" t="b">
        <v>0</v>
      </c>
      <c r="BM177" s="76"/>
      <c r="BN177" s="76" t="s">
        <v>65</v>
      </c>
      <c r="BO177" s="76" t="s">
        <v>2094</v>
      </c>
      <c r="BP177" s="82" t="str">
        <f>HYPERLINK("https://twitter.com/rayterrill")</f>
        <v>https://twitter.com/rayterrill</v>
      </c>
      <c r="BQ177" s="76" t="str">
        <f>REPLACE(INDEX(GroupVertices[Group],MATCH("~"&amp;Vertices[[#This Row],[Vertex]],GroupVertices[Vertex],0)),1,1,"")</f>
        <v>34</v>
      </c>
      <c r="BR177" s="45"/>
      <c r="BS177" s="46"/>
      <c r="BT177" s="45"/>
      <c r="BU177" s="46"/>
      <c r="BV177" s="45"/>
      <c r="BW177" s="46"/>
      <c r="BX177" s="45"/>
      <c r="BY177" s="46"/>
      <c r="BZ177" s="45"/>
      <c r="CA177" s="45"/>
      <c r="CB177" s="45"/>
      <c r="CC177" s="45"/>
      <c r="CD177" s="45"/>
      <c r="CE177" s="45"/>
      <c r="CF177" s="45"/>
      <c r="CG177" s="45"/>
      <c r="CH177" s="45"/>
      <c r="CI177" s="45"/>
      <c r="CJ177" s="45"/>
      <c r="CK177" s="2"/>
    </row>
    <row r="178" spans="1:89" ht="41.45" customHeight="1">
      <c r="A178" s="61" t="s">
        <v>315</v>
      </c>
      <c r="C178" s="62"/>
      <c r="D178" s="62" t="s">
        <v>64</v>
      </c>
      <c r="E178" s="63">
        <v>70</v>
      </c>
      <c r="F178" s="65"/>
      <c r="G178" s="101" t="str">
        <f>HYPERLINK("https://pbs.twimg.com/profile_images/1078371610896195584/pKIUmOgq_normal.jpg")</f>
        <v>https://pbs.twimg.com/profile_images/1078371610896195584/pKIUmOgq_normal.jpg</v>
      </c>
      <c r="H178" s="62"/>
      <c r="I178" s="66" t="s">
        <v>315</v>
      </c>
      <c r="J178" s="67"/>
      <c r="K178" s="67" t="s">
        <v>75</v>
      </c>
      <c r="L178" s="66" t="s">
        <v>2266</v>
      </c>
      <c r="M178" s="70">
        <v>1</v>
      </c>
      <c r="N178" s="71">
        <v>6993.3720703125</v>
      </c>
      <c r="O178" s="71">
        <v>1040.7225341796875</v>
      </c>
      <c r="P178" s="72"/>
      <c r="Q178" s="73"/>
      <c r="R178" s="73"/>
      <c r="S178" s="87"/>
      <c r="T178" s="45">
        <v>0</v>
      </c>
      <c r="U178" s="45">
        <v>1</v>
      </c>
      <c r="V178" s="46">
        <v>0</v>
      </c>
      <c r="W178" s="46">
        <v>0.004695</v>
      </c>
      <c r="X178" s="46">
        <v>0</v>
      </c>
      <c r="Y178" s="46">
        <v>0.004673</v>
      </c>
      <c r="Z178" s="46">
        <v>0</v>
      </c>
      <c r="AA178" s="46">
        <v>0</v>
      </c>
      <c r="AB178" s="68">
        <v>175</v>
      </c>
      <c r="AC178" s="68"/>
      <c r="AD178" s="69"/>
      <c r="AE178" s="76" t="s">
        <v>1499</v>
      </c>
      <c r="AF178" s="80" t="s">
        <v>1623</v>
      </c>
      <c r="AG178" s="76">
        <v>3223</v>
      </c>
      <c r="AH178" s="76">
        <v>3845</v>
      </c>
      <c r="AI178" s="76">
        <v>52843</v>
      </c>
      <c r="AJ178" s="76">
        <v>28</v>
      </c>
      <c r="AK178" s="76">
        <v>31026</v>
      </c>
      <c r="AL178" s="76">
        <v>8292</v>
      </c>
      <c r="AM178" s="76" t="b">
        <v>0</v>
      </c>
      <c r="AN178" s="78">
        <v>40765.266122685185</v>
      </c>
      <c r="AO178" s="76" t="s">
        <v>871</v>
      </c>
      <c r="AP178" s="76" t="s">
        <v>1913</v>
      </c>
      <c r="AQ178" s="82" t="str">
        <f>HYPERLINK("https://t.co/kjpYS5dtBn")</f>
        <v>https://t.co/kjpYS5dtBn</v>
      </c>
      <c r="AR178" s="82" t="str">
        <f>HYPERLINK("http://jmcdonaldmedia.com")</f>
        <v>http://jmcdonaldmedia.com</v>
      </c>
      <c r="AS178" s="76" t="s">
        <v>2031</v>
      </c>
      <c r="AT178" s="82" t="str">
        <f>HYPERLINK("https://t.co/kjpYS5dtBn")</f>
        <v>https://t.co/kjpYS5dtBn</v>
      </c>
      <c r="AU178" s="82" t="str">
        <f>HYPERLINK("http://jmcdonaldmedia.com")</f>
        <v>http://jmcdonaldmedia.com</v>
      </c>
      <c r="AV178" s="76" t="s">
        <v>2031</v>
      </c>
      <c r="AW178" s="76">
        <v>1.66849772684014E+18</v>
      </c>
      <c r="AX178" s="82" t="str">
        <f>HYPERLINK("https://t.co/kjpYS5dtBn")</f>
        <v>https://t.co/kjpYS5dtBn</v>
      </c>
      <c r="AY178" s="76" t="b">
        <v>0</v>
      </c>
      <c r="AZ178" s="76"/>
      <c r="BA178" s="76"/>
      <c r="BB178" s="76" t="b">
        <v>0</v>
      </c>
      <c r="BC178" s="76" t="b">
        <v>1</v>
      </c>
      <c r="BD178" s="76" t="b">
        <v>0</v>
      </c>
      <c r="BE178" s="76" t="b">
        <v>0</v>
      </c>
      <c r="BF178" s="76" t="b">
        <v>1</v>
      </c>
      <c r="BG178" s="76" t="b">
        <v>0</v>
      </c>
      <c r="BH178" s="76" t="b">
        <v>0</v>
      </c>
      <c r="BI178" s="82" t="str">
        <f>HYPERLINK("https://pbs.twimg.com/profile_banners/352146432/1685474920")</f>
        <v>https://pbs.twimg.com/profile_banners/352146432/1685474920</v>
      </c>
      <c r="BJ178" s="76"/>
      <c r="BK178" s="76" t="s">
        <v>2092</v>
      </c>
      <c r="BL178" s="76" t="b">
        <v>0</v>
      </c>
      <c r="BM178" s="76"/>
      <c r="BN178" s="76" t="s">
        <v>66</v>
      </c>
      <c r="BO178" s="76" t="s">
        <v>2094</v>
      </c>
      <c r="BP178" s="82" t="str">
        <f>HYPERLINK("https://twitter.com/j_mcdonald81")</f>
        <v>https://twitter.com/j_mcdonald81</v>
      </c>
      <c r="BQ178" s="76" t="str">
        <f>REPLACE(INDEX(GroupVertices[Group],MATCH("~"&amp;Vertices[[#This Row],[Vertex]],GroupVertices[Vertex],0)),1,1,"")</f>
        <v>33</v>
      </c>
      <c r="BR178" s="45">
        <v>1</v>
      </c>
      <c r="BS178" s="46">
        <v>1.2820512820512822</v>
      </c>
      <c r="BT178" s="45">
        <v>3</v>
      </c>
      <c r="BU178" s="46">
        <v>3.8461538461538463</v>
      </c>
      <c r="BV178" s="45">
        <v>0</v>
      </c>
      <c r="BW178" s="46">
        <v>0</v>
      </c>
      <c r="BX178" s="45">
        <v>39</v>
      </c>
      <c r="BY178" s="46">
        <v>50</v>
      </c>
      <c r="BZ178" s="45">
        <v>78</v>
      </c>
      <c r="CA178" s="45"/>
      <c r="CB178" s="45"/>
      <c r="CC178" s="45"/>
      <c r="CD178" s="45"/>
      <c r="CE178" s="45"/>
      <c r="CF178" s="45"/>
      <c r="CG178" s="114" t="s">
        <v>11376</v>
      </c>
      <c r="CH178" s="114" t="s">
        <v>11405</v>
      </c>
      <c r="CI178" s="114" t="s">
        <v>11505</v>
      </c>
      <c r="CJ178" s="114" t="s">
        <v>11533</v>
      </c>
      <c r="CK178" s="2"/>
    </row>
    <row r="179" spans="1:89" ht="41.45" customHeight="1">
      <c r="A179" s="61" t="s">
        <v>415</v>
      </c>
      <c r="C179" s="62"/>
      <c r="D179" s="62" t="s">
        <v>64</v>
      </c>
      <c r="E179" s="63">
        <v>70</v>
      </c>
      <c r="F179" s="65"/>
      <c r="G179" s="101" t="str">
        <f>HYPERLINK("https://pbs.twimg.com/profile_images/1708024112139182080/aijwqp51_normal.jpg")</f>
        <v>https://pbs.twimg.com/profile_images/1708024112139182080/aijwqp51_normal.jpg</v>
      </c>
      <c r="H179" s="62"/>
      <c r="I179" s="66" t="s">
        <v>415</v>
      </c>
      <c r="J179" s="67"/>
      <c r="K179" s="67" t="s">
        <v>75</v>
      </c>
      <c r="L179" s="66" t="s">
        <v>2267</v>
      </c>
      <c r="M179" s="70">
        <v>2000.6</v>
      </c>
      <c r="N179" s="71">
        <v>6993.3720703125</v>
      </c>
      <c r="O179" s="71">
        <v>380.50628662109375</v>
      </c>
      <c r="P179" s="72"/>
      <c r="Q179" s="73"/>
      <c r="R179" s="73"/>
      <c r="S179" s="87"/>
      <c r="T179" s="45">
        <v>1</v>
      </c>
      <c r="U179" s="45">
        <v>0</v>
      </c>
      <c r="V179" s="46">
        <v>0</v>
      </c>
      <c r="W179" s="46">
        <v>0.004695</v>
      </c>
      <c r="X179" s="46">
        <v>0</v>
      </c>
      <c r="Y179" s="46">
        <v>0.004673</v>
      </c>
      <c r="Z179" s="46">
        <v>0</v>
      </c>
      <c r="AA179" s="46">
        <v>0</v>
      </c>
      <c r="AB179" s="68">
        <v>176</v>
      </c>
      <c r="AC179" s="68"/>
      <c r="AD179" s="69"/>
      <c r="AE179" s="76" t="s">
        <v>1500</v>
      </c>
      <c r="AF179" s="80" t="s">
        <v>1193</v>
      </c>
      <c r="AG179" s="76">
        <v>547</v>
      </c>
      <c r="AH179" s="76">
        <v>333</v>
      </c>
      <c r="AI179" s="76">
        <v>21310</v>
      </c>
      <c r="AJ179" s="76">
        <v>2</v>
      </c>
      <c r="AK179" s="76">
        <v>21605</v>
      </c>
      <c r="AL179" s="76">
        <v>743</v>
      </c>
      <c r="AM179" s="76" t="b">
        <v>0</v>
      </c>
      <c r="AN179" s="78">
        <v>42280.17225694445</v>
      </c>
      <c r="AO179" s="76" t="s">
        <v>1729</v>
      </c>
      <c r="AP179" s="76" t="s">
        <v>1914</v>
      </c>
      <c r="AQ179" s="76"/>
      <c r="AR179" s="76"/>
      <c r="AS179" s="76"/>
      <c r="AT179" s="76"/>
      <c r="AU179" s="76"/>
      <c r="AV179" s="76"/>
      <c r="AW179" s="76">
        <v>1.70071705518259E+18</v>
      </c>
      <c r="AX179" s="76"/>
      <c r="AY179" s="76" t="b">
        <v>0</v>
      </c>
      <c r="AZ179" s="76"/>
      <c r="BA179" s="76"/>
      <c r="BB179" s="76" t="b">
        <v>1</v>
      </c>
      <c r="BC179" s="76" t="b">
        <v>0</v>
      </c>
      <c r="BD179" s="76" t="b">
        <v>1</v>
      </c>
      <c r="BE179" s="76" t="b">
        <v>0</v>
      </c>
      <c r="BF179" s="76" t="b">
        <v>1</v>
      </c>
      <c r="BG179" s="76" t="b">
        <v>0</v>
      </c>
      <c r="BH179" s="76" t="b">
        <v>0</v>
      </c>
      <c r="BI179" s="82" t="str">
        <f>HYPERLINK("https://pbs.twimg.com/profile_banners/3766159813/1696024012")</f>
        <v>https://pbs.twimg.com/profile_banners/3766159813/1696024012</v>
      </c>
      <c r="BJ179" s="76"/>
      <c r="BK179" s="76" t="s">
        <v>2092</v>
      </c>
      <c r="BL179" s="76" t="b">
        <v>0</v>
      </c>
      <c r="BM179" s="76"/>
      <c r="BN179" s="76" t="s">
        <v>65</v>
      </c>
      <c r="BO179" s="76" t="s">
        <v>2094</v>
      </c>
      <c r="BP179" s="82" t="str">
        <f>HYPERLINK("https://twitter.com/lukeroth1015")</f>
        <v>https://twitter.com/lukeroth1015</v>
      </c>
      <c r="BQ179" s="76" t="str">
        <f>REPLACE(INDEX(GroupVertices[Group],MATCH("~"&amp;Vertices[[#This Row],[Vertex]],GroupVertices[Vertex],0)),1,1,"")</f>
        <v>33</v>
      </c>
      <c r="BR179" s="45"/>
      <c r="BS179" s="46"/>
      <c r="BT179" s="45"/>
      <c r="BU179" s="46"/>
      <c r="BV179" s="45"/>
      <c r="BW179" s="46"/>
      <c r="BX179" s="45"/>
      <c r="BY179" s="46"/>
      <c r="BZ179" s="45"/>
      <c r="CA179" s="45"/>
      <c r="CB179" s="45"/>
      <c r="CC179" s="45"/>
      <c r="CD179" s="45"/>
      <c r="CE179" s="45"/>
      <c r="CF179" s="45"/>
      <c r="CG179" s="45"/>
      <c r="CH179" s="45"/>
      <c r="CI179" s="45"/>
      <c r="CJ179" s="45"/>
      <c r="CK179" s="2"/>
    </row>
    <row r="180" spans="1:89" ht="41.45" customHeight="1">
      <c r="A180" s="61" t="s">
        <v>416</v>
      </c>
      <c r="C180" s="62"/>
      <c r="D180" s="62" t="s">
        <v>64</v>
      </c>
      <c r="E180" s="63">
        <v>70</v>
      </c>
      <c r="F180" s="65"/>
      <c r="G180" s="101" t="str">
        <f>HYPERLINK("https://pbs.twimg.com/profile_images/1493314751413190658/t_X1cLXd_normal.jpg")</f>
        <v>https://pbs.twimg.com/profile_images/1493314751413190658/t_X1cLXd_normal.jpg</v>
      </c>
      <c r="H180" s="62"/>
      <c r="I180" s="66" t="s">
        <v>416</v>
      </c>
      <c r="J180" s="67"/>
      <c r="K180" s="67" t="s">
        <v>75</v>
      </c>
      <c r="L180" s="66" t="s">
        <v>2269</v>
      </c>
      <c r="M180" s="70">
        <v>2000.6</v>
      </c>
      <c r="N180" s="71">
        <v>575.5132446289062</v>
      </c>
      <c r="O180" s="71">
        <v>50.39818572998047</v>
      </c>
      <c r="P180" s="72"/>
      <c r="Q180" s="73"/>
      <c r="R180" s="73"/>
      <c r="S180" s="87"/>
      <c r="T180" s="45">
        <v>1</v>
      </c>
      <c r="U180" s="45">
        <v>0</v>
      </c>
      <c r="V180" s="46">
        <v>0</v>
      </c>
      <c r="W180" s="46">
        <v>0.010731</v>
      </c>
      <c r="X180" s="46">
        <v>0</v>
      </c>
      <c r="Y180" s="46">
        <v>0.004345</v>
      </c>
      <c r="Z180" s="46">
        <v>0</v>
      </c>
      <c r="AA180" s="46">
        <v>0</v>
      </c>
      <c r="AB180" s="68">
        <v>178</v>
      </c>
      <c r="AC180" s="68"/>
      <c r="AD180" s="69"/>
      <c r="AE180" s="76" t="s">
        <v>416</v>
      </c>
      <c r="AF180" s="80" t="s">
        <v>1194</v>
      </c>
      <c r="AG180" s="76">
        <v>4434</v>
      </c>
      <c r="AH180" s="76">
        <v>2860</v>
      </c>
      <c r="AI180" s="76">
        <v>21207</v>
      </c>
      <c r="AJ180" s="76">
        <v>66</v>
      </c>
      <c r="AK180" s="76">
        <v>8191</v>
      </c>
      <c r="AL180" s="76">
        <v>1617</v>
      </c>
      <c r="AM180" s="76" t="b">
        <v>0</v>
      </c>
      <c r="AN180" s="78">
        <v>42976.032118055555</v>
      </c>
      <c r="AO180" s="76" t="s">
        <v>852</v>
      </c>
      <c r="AP180" s="76" t="s">
        <v>1916</v>
      </c>
      <c r="AQ180" s="82" t="str">
        <f>HYPERLINK("https://t.co/gWcOdvG0YS")</f>
        <v>https://t.co/gWcOdvG0YS</v>
      </c>
      <c r="AR180" s="82" t="str">
        <f>HYPERLINK("http://www.nomorefreewayspdx.com/")</f>
        <v>http://www.nomorefreewayspdx.com/</v>
      </c>
      <c r="AS180" s="76" t="s">
        <v>2033</v>
      </c>
      <c r="AT180" s="76"/>
      <c r="AU180" s="76"/>
      <c r="AV180" s="76"/>
      <c r="AW180" s="76">
        <v>1.73793987877057E+18</v>
      </c>
      <c r="AX180" s="82" t="str">
        <f>HYPERLINK("https://t.co/gWcOdvG0YS")</f>
        <v>https://t.co/gWcOdvG0YS</v>
      </c>
      <c r="AY180" s="76" t="b">
        <v>0</v>
      </c>
      <c r="AZ180" s="76"/>
      <c r="BA180" s="76"/>
      <c r="BB180" s="76" t="b">
        <v>1</v>
      </c>
      <c r="BC180" s="76" t="b">
        <v>1</v>
      </c>
      <c r="BD180" s="76" t="b">
        <v>1</v>
      </c>
      <c r="BE180" s="76" t="b">
        <v>0</v>
      </c>
      <c r="BF180" s="76" t="b">
        <v>1</v>
      </c>
      <c r="BG180" s="76" t="b">
        <v>0</v>
      </c>
      <c r="BH180" s="76" t="b">
        <v>0</v>
      </c>
      <c r="BI180" s="82" t="str">
        <f>HYPERLINK("https://pbs.twimg.com/profile_banners/902331528167829504/1618295528")</f>
        <v>https://pbs.twimg.com/profile_banners/902331528167829504/1618295528</v>
      </c>
      <c r="BJ180" s="76"/>
      <c r="BK180" s="76" t="s">
        <v>2092</v>
      </c>
      <c r="BL180" s="76" t="b">
        <v>0</v>
      </c>
      <c r="BM180" s="76"/>
      <c r="BN180" s="76" t="s">
        <v>65</v>
      </c>
      <c r="BO180" s="76" t="s">
        <v>2094</v>
      </c>
      <c r="BP180" s="82" t="str">
        <f>HYPERLINK("https://twitter.com/nomorefreeways")</f>
        <v>https://twitter.com/nomorefreeways</v>
      </c>
      <c r="BQ180" s="76" t="str">
        <f>REPLACE(INDEX(GroupVertices[Group],MATCH("~"&amp;Vertices[[#This Row],[Vertex]],GroupVertices[Vertex],0)),1,1,"")</f>
        <v>2</v>
      </c>
      <c r="BR180" s="45"/>
      <c r="BS180" s="46"/>
      <c r="BT180" s="45"/>
      <c r="BU180" s="46"/>
      <c r="BV180" s="45"/>
      <c r="BW180" s="46"/>
      <c r="BX180" s="45"/>
      <c r="BY180" s="46"/>
      <c r="BZ180" s="45"/>
      <c r="CA180" s="45"/>
      <c r="CB180" s="45"/>
      <c r="CC180" s="45"/>
      <c r="CD180" s="45"/>
      <c r="CE180" s="45"/>
      <c r="CF180" s="45"/>
      <c r="CG180" s="45"/>
      <c r="CH180" s="45"/>
      <c r="CI180" s="45"/>
      <c r="CJ180" s="45"/>
      <c r="CK180" s="2"/>
    </row>
    <row r="181" spans="1:89" ht="41.45" customHeight="1">
      <c r="A181" s="61" t="s">
        <v>417</v>
      </c>
      <c r="C181" s="62"/>
      <c r="D181" s="62" t="s">
        <v>64</v>
      </c>
      <c r="E181" s="63">
        <v>70</v>
      </c>
      <c r="F181" s="65"/>
      <c r="G181" s="101" t="str">
        <f>HYPERLINK("https://pbs.twimg.com/profile_images/1740104813143068672/HmWHKIJb_normal.jpg")</f>
        <v>https://pbs.twimg.com/profile_images/1740104813143068672/HmWHKIJb_normal.jpg</v>
      </c>
      <c r="H181" s="62"/>
      <c r="I181" s="66" t="s">
        <v>417</v>
      </c>
      <c r="J181" s="67"/>
      <c r="K181" s="67" t="s">
        <v>75</v>
      </c>
      <c r="L181" s="66" t="s">
        <v>2270</v>
      </c>
      <c r="M181" s="70">
        <v>2000.6</v>
      </c>
      <c r="N181" s="71">
        <v>7047.2607421875</v>
      </c>
      <c r="O181" s="71">
        <v>8682.34765625</v>
      </c>
      <c r="P181" s="72"/>
      <c r="Q181" s="73"/>
      <c r="R181" s="73"/>
      <c r="S181" s="87"/>
      <c r="T181" s="45">
        <v>1</v>
      </c>
      <c r="U181" s="45">
        <v>0</v>
      </c>
      <c r="V181" s="46">
        <v>0</v>
      </c>
      <c r="W181" s="46">
        <v>0.00626</v>
      </c>
      <c r="X181" s="46">
        <v>0</v>
      </c>
      <c r="Y181" s="46">
        <v>0.004368</v>
      </c>
      <c r="Z181" s="46">
        <v>0</v>
      </c>
      <c r="AA181" s="46">
        <v>0</v>
      </c>
      <c r="AB181" s="68">
        <v>179</v>
      </c>
      <c r="AC181" s="68"/>
      <c r="AD181" s="69"/>
      <c r="AE181" s="76" t="s">
        <v>1502</v>
      </c>
      <c r="AF181" s="80" t="s">
        <v>1625</v>
      </c>
      <c r="AG181" s="76">
        <v>1288969</v>
      </c>
      <c r="AH181" s="76">
        <v>1422</v>
      </c>
      <c r="AI181" s="76">
        <v>70749</v>
      </c>
      <c r="AJ181" s="76">
        <v>8189</v>
      </c>
      <c r="AK181" s="76">
        <v>11832</v>
      </c>
      <c r="AL181" s="76">
        <v>30022</v>
      </c>
      <c r="AM181" s="76" t="b">
        <v>0</v>
      </c>
      <c r="AN181" s="78">
        <v>39845.44359953704</v>
      </c>
      <c r="AO181" s="76" t="s">
        <v>1730</v>
      </c>
      <c r="AP181" s="76" t="s">
        <v>1917</v>
      </c>
      <c r="AQ181" s="82" t="str">
        <f>HYPERLINK("https://t.co/bHtIwB9Ej5")</f>
        <v>https://t.co/bHtIwB9Ej5</v>
      </c>
      <c r="AR181" s="82" t="str">
        <f>HYPERLINK("http://miamidolphins.com")</f>
        <v>http://miamidolphins.com</v>
      </c>
      <c r="AS181" s="76" t="s">
        <v>2034</v>
      </c>
      <c r="AT181" s="76"/>
      <c r="AU181" s="76"/>
      <c r="AV181" s="76"/>
      <c r="AW181" s="76"/>
      <c r="AX181" s="82" t="str">
        <f>HYPERLINK("https://t.co/bHtIwB9Ej5")</f>
        <v>https://t.co/bHtIwB9Ej5</v>
      </c>
      <c r="AY181" s="76" t="b">
        <v>1</v>
      </c>
      <c r="AZ181" s="76"/>
      <c r="BA181" s="76"/>
      <c r="BB181" s="76" t="b">
        <v>0</v>
      </c>
      <c r="BC181" s="76" t="b">
        <v>1</v>
      </c>
      <c r="BD181" s="76" t="b">
        <v>0</v>
      </c>
      <c r="BE181" s="76" t="b">
        <v>0</v>
      </c>
      <c r="BF181" s="76" t="b">
        <v>1</v>
      </c>
      <c r="BG181" s="76" t="b">
        <v>0</v>
      </c>
      <c r="BH181" s="76" t="b">
        <v>0</v>
      </c>
      <c r="BI181" s="82" t="str">
        <f>HYPERLINK("https://pbs.twimg.com/profile_banners/19853312/1704057166")</f>
        <v>https://pbs.twimg.com/profile_banners/19853312/1704057166</v>
      </c>
      <c r="BJ181" s="76"/>
      <c r="BK181" s="76" t="s">
        <v>2092</v>
      </c>
      <c r="BL181" s="76" t="b">
        <v>0</v>
      </c>
      <c r="BM181" s="76"/>
      <c r="BN181" s="76" t="s">
        <v>65</v>
      </c>
      <c r="BO181" s="76" t="s">
        <v>2094</v>
      </c>
      <c r="BP181" s="82" t="str">
        <f>HYPERLINK("https://twitter.com/miamidolphins")</f>
        <v>https://twitter.com/miamidolphins</v>
      </c>
      <c r="BQ181" s="76" t="str">
        <f>REPLACE(INDEX(GroupVertices[Group],MATCH("~"&amp;Vertices[[#This Row],[Vertex]],GroupVertices[Vertex],0)),1,1,"")</f>
        <v>12</v>
      </c>
      <c r="BR181" s="45"/>
      <c r="BS181" s="46"/>
      <c r="BT181" s="45"/>
      <c r="BU181" s="46"/>
      <c r="BV181" s="45"/>
      <c r="BW181" s="46"/>
      <c r="BX181" s="45"/>
      <c r="BY181" s="46"/>
      <c r="BZ181" s="45"/>
      <c r="CA181" s="45"/>
      <c r="CB181" s="45"/>
      <c r="CC181" s="45"/>
      <c r="CD181" s="45"/>
      <c r="CE181" s="45"/>
      <c r="CF181" s="45"/>
      <c r="CG181" s="45"/>
      <c r="CH181" s="45"/>
      <c r="CI181" s="45"/>
      <c r="CJ181" s="45"/>
      <c r="CK181" s="2"/>
    </row>
    <row r="182" spans="1:89" ht="41.45" customHeight="1">
      <c r="A182" s="61" t="s">
        <v>318</v>
      </c>
      <c r="C182" s="62"/>
      <c r="D182" s="62" t="s">
        <v>64</v>
      </c>
      <c r="E182" s="63">
        <v>70</v>
      </c>
      <c r="F182" s="65"/>
      <c r="G182" s="101" t="str">
        <f>HYPERLINK("https://pbs.twimg.com/profile_images/1610025685699158016/x6OWvnAy_normal.jpg")</f>
        <v>https://pbs.twimg.com/profile_images/1610025685699158016/x6OWvnAy_normal.jpg</v>
      </c>
      <c r="H182" s="62"/>
      <c r="I182" s="66" t="s">
        <v>318</v>
      </c>
      <c r="J182" s="67"/>
      <c r="K182" s="67" t="s">
        <v>75</v>
      </c>
      <c r="L182" s="66" t="s">
        <v>2271</v>
      </c>
      <c r="M182" s="70">
        <v>1</v>
      </c>
      <c r="N182" s="71">
        <v>7657.54736328125</v>
      </c>
      <c r="O182" s="71">
        <v>5144.39453125</v>
      </c>
      <c r="P182" s="72"/>
      <c r="Q182" s="73"/>
      <c r="R182" s="73"/>
      <c r="S182" s="87"/>
      <c r="T182" s="45">
        <v>0</v>
      </c>
      <c r="U182" s="45">
        <v>1</v>
      </c>
      <c r="V182" s="46">
        <v>0</v>
      </c>
      <c r="W182" s="46">
        <v>0.004695</v>
      </c>
      <c r="X182" s="46">
        <v>0</v>
      </c>
      <c r="Y182" s="46">
        <v>0.004673</v>
      </c>
      <c r="Z182" s="46">
        <v>0</v>
      </c>
      <c r="AA182" s="46">
        <v>0</v>
      </c>
      <c r="AB182" s="68">
        <v>180</v>
      </c>
      <c r="AC182" s="68"/>
      <c r="AD182" s="69"/>
      <c r="AE182" s="76" t="s">
        <v>1503</v>
      </c>
      <c r="AF182" s="80" t="s">
        <v>1278</v>
      </c>
      <c r="AG182" s="76">
        <v>298</v>
      </c>
      <c r="AH182" s="76">
        <v>222</v>
      </c>
      <c r="AI182" s="76">
        <v>36342</v>
      </c>
      <c r="AJ182" s="76">
        <v>0</v>
      </c>
      <c r="AK182" s="76">
        <v>44158</v>
      </c>
      <c r="AL182" s="76">
        <v>3305</v>
      </c>
      <c r="AM182" s="76" t="b">
        <v>0</v>
      </c>
      <c r="AN182" s="78">
        <v>44360.81460648148</v>
      </c>
      <c r="AO182" s="76" t="s">
        <v>1731</v>
      </c>
      <c r="AP182" s="76" t="s">
        <v>1918</v>
      </c>
      <c r="AQ182" s="76"/>
      <c r="AR182" s="76"/>
      <c r="AS182" s="76"/>
      <c r="AT182" s="76"/>
      <c r="AU182" s="76"/>
      <c r="AV182" s="76"/>
      <c r="AW182" s="76">
        <v>1.75199391460793E+18</v>
      </c>
      <c r="AX182" s="76"/>
      <c r="AY182" s="76" t="b">
        <v>0</v>
      </c>
      <c r="AZ182" s="76"/>
      <c r="BA182" s="76"/>
      <c r="BB182" s="76" t="b">
        <v>1</v>
      </c>
      <c r="BC182" s="76" t="b">
        <v>0</v>
      </c>
      <c r="BD182" s="76" t="b">
        <v>1</v>
      </c>
      <c r="BE182" s="76" t="b">
        <v>0</v>
      </c>
      <c r="BF182" s="76" t="b">
        <v>1</v>
      </c>
      <c r="BG182" s="76" t="b">
        <v>0</v>
      </c>
      <c r="BH182" s="76" t="b">
        <v>0</v>
      </c>
      <c r="BI182" s="82" t="str">
        <f>HYPERLINK("https://pbs.twimg.com/profile_banners/1404159608839573504/1647318350")</f>
        <v>https://pbs.twimg.com/profile_banners/1404159608839573504/1647318350</v>
      </c>
      <c r="BJ182" s="76"/>
      <c r="BK182" s="76" t="s">
        <v>2092</v>
      </c>
      <c r="BL182" s="76" t="b">
        <v>0</v>
      </c>
      <c r="BM182" s="76"/>
      <c r="BN182" s="76" t="s">
        <v>66</v>
      </c>
      <c r="BO182" s="76" t="s">
        <v>2094</v>
      </c>
      <c r="BP182" s="82" t="str">
        <f>HYPERLINK("https://twitter.com/quintonmurdock")</f>
        <v>https://twitter.com/quintonmurdock</v>
      </c>
      <c r="BQ182" s="76" t="str">
        <f>REPLACE(INDEX(GroupVertices[Group],MATCH("~"&amp;Vertices[[#This Row],[Vertex]],GroupVertices[Vertex],0)),1,1,"")</f>
        <v>32</v>
      </c>
      <c r="BR182" s="45">
        <v>1</v>
      </c>
      <c r="BS182" s="46">
        <v>5</v>
      </c>
      <c r="BT182" s="45">
        <v>3</v>
      </c>
      <c r="BU182" s="46">
        <v>15</v>
      </c>
      <c r="BV182" s="45">
        <v>0</v>
      </c>
      <c r="BW182" s="46">
        <v>0</v>
      </c>
      <c r="BX182" s="45">
        <v>5</v>
      </c>
      <c r="BY182" s="46">
        <v>25</v>
      </c>
      <c r="BZ182" s="45">
        <v>20</v>
      </c>
      <c r="CA182" s="45"/>
      <c r="CB182" s="45"/>
      <c r="CC182" s="45"/>
      <c r="CD182" s="45"/>
      <c r="CE182" s="45"/>
      <c r="CF182" s="45"/>
      <c r="CG182" s="114" t="s">
        <v>11378</v>
      </c>
      <c r="CH182" s="114" t="s">
        <v>11378</v>
      </c>
      <c r="CI182" s="114" t="s">
        <v>11507</v>
      </c>
      <c r="CJ182" s="114" t="s">
        <v>11507</v>
      </c>
      <c r="CK182" s="2"/>
    </row>
    <row r="183" spans="1:89" ht="41.45" customHeight="1">
      <c r="A183" s="61" t="s">
        <v>418</v>
      </c>
      <c r="C183" s="62"/>
      <c r="D183" s="62" t="s">
        <v>64</v>
      </c>
      <c r="E183" s="63">
        <v>70</v>
      </c>
      <c r="F183" s="65"/>
      <c r="G183" s="101" t="str">
        <f>HYPERLINK("https://pbs.twimg.com/profile_images/1740269438279299072/snxxb7Tr_normal.jpg")</f>
        <v>https://pbs.twimg.com/profile_images/1740269438279299072/snxxb7Tr_normal.jpg</v>
      </c>
      <c r="H183" s="62"/>
      <c r="I183" s="66" t="s">
        <v>418</v>
      </c>
      <c r="J183" s="67"/>
      <c r="K183" s="67" t="s">
        <v>75</v>
      </c>
      <c r="L183" s="66" t="s">
        <v>2272</v>
      </c>
      <c r="M183" s="70">
        <v>2000.6</v>
      </c>
      <c r="N183" s="71">
        <v>7657.54736328125</v>
      </c>
      <c r="O183" s="71">
        <v>4486.69873046875</v>
      </c>
      <c r="P183" s="72"/>
      <c r="Q183" s="73"/>
      <c r="R183" s="73"/>
      <c r="S183" s="87"/>
      <c r="T183" s="45">
        <v>1</v>
      </c>
      <c r="U183" s="45">
        <v>0</v>
      </c>
      <c r="V183" s="46">
        <v>0</v>
      </c>
      <c r="W183" s="46">
        <v>0.004695</v>
      </c>
      <c r="X183" s="46">
        <v>0</v>
      </c>
      <c r="Y183" s="46">
        <v>0.004673</v>
      </c>
      <c r="Z183" s="46">
        <v>0</v>
      </c>
      <c r="AA183" s="46">
        <v>0</v>
      </c>
      <c r="AB183" s="68">
        <v>181</v>
      </c>
      <c r="AC183" s="68"/>
      <c r="AD183" s="69"/>
      <c r="AE183" s="76" t="s">
        <v>1504</v>
      </c>
      <c r="AF183" s="80" t="s">
        <v>1195</v>
      </c>
      <c r="AG183" s="76">
        <v>1406</v>
      </c>
      <c r="AH183" s="76">
        <v>648</v>
      </c>
      <c r="AI183" s="76">
        <v>15365</v>
      </c>
      <c r="AJ183" s="76">
        <v>2</v>
      </c>
      <c r="AK183" s="76">
        <v>33635</v>
      </c>
      <c r="AL183" s="76">
        <v>1229</v>
      </c>
      <c r="AM183" s="76" t="b">
        <v>0</v>
      </c>
      <c r="AN183" s="78">
        <v>45025.90655092592</v>
      </c>
      <c r="AO183" s="76" t="s">
        <v>1732</v>
      </c>
      <c r="AP183" s="76" t="s">
        <v>1919</v>
      </c>
      <c r="AQ183" s="82" t="str">
        <f>HYPERLINK("https://t.co/sZGr4S7giO")</f>
        <v>https://t.co/sZGr4S7giO</v>
      </c>
      <c r="AR183" s="82" t="str">
        <f>HYPERLINK("https://discord.com/invite/rzBwYt9BjQ")</f>
        <v>https://discord.com/invite/rzBwYt9BjQ</v>
      </c>
      <c r="AS183" s="76" t="s">
        <v>2035</v>
      </c>
      <c r="AT183" s="76"/>
      <c r="AU183" s="76"/>
      <c r="AV183" s="76"/>
      <c r="AW183" s="76">
        <v>1.74848126989229E+18</v>
      </c>
      <c r="AX183" s="82" t="str">
        <f>HYPERLINK("https://t.co/sZGr4S7giO")</f>
        <v>https://t.co/sZGr4S7giO</v>
      </c>
      <c r="AY183" s="76" t="b">
        <v>0</v>
      </c>
      <c r="AZ183" s="76"/>
      <c r="BA183" s="76"/>
      <c r="BB183" s="76" t="b">
        <v>0</v>
      </c>
      <c r="BC183" s="76" t="b">
        <v>0</v>
      </c>
      <c r="BD183" s="76" t="b">
        <v>1</v>
      </c>
      <c r="BE183" s="76" t="b">
        <v>0</v>
      </c>
      <c r="BF183" s="76" t="b">
        <v>0</v>
      </c>
      <c r="BG183" s="76" t="b">
        <v>0</v>
      </c>
      <c r="BH183" s="76" t="b">
        <v>0</v>
      </c>
      <c r="BI183" s="82" t="str">
        <f>HYPERLINK("https://pbs.twimg.com/profile_banners/1645181116490317827/1700106333")</f>
        <v>https://pbs.twimg.com/profile_banners/1645181116490317827/1700106333</v>
      </c>
      <c r="BJ183" s="76"/>
      <c r="BK183" s="76" t="s">
        <v>2092</v>
      </c>
      <c r="BL183" s="76" t="b">
        <v>0</v>
      </c>
      <c r="BM183" s="76"/>
      <c r="BN183" s="76" t="s">
        <v>65</v>
      </c>
      <c r="BO183" s="76" t="s">
        <v>2094</v>
      </c>
      <c r="BP183" s="82" t="str">
        <f>HYPERLINK("https://twitter.com/sabo_cat161")</f>
        <v>https://twitter.com/sabo_cat161</v>
      </c>
      <c r="BQ183" s="76" t="str">
        <f>REPLACE(INDEX(GroupVertices[Group],MATCH("~"&amp;Vertices[[#This Row],[Vertex]],GroupVertices[Vertex],0)),1,1,"")</f>
        <v>32</v>
      </c>
      <c r="BR183" s="45"/>
      <c r="BS183" s="46"/>
      <c r="BT183" s="45"/>
      <c r="BU183" s="46"/>
      <c r="BV183" s="45"/>
      <c r="BW183" s="46"/>
      <c r="BX183" s="45"/>
      <c r="BY183" s="46"/>
      <c r="BZ183" s="45"/>
      <c r="CA183" s="45"/>
      <c r="CB183" s="45"/>
      <c r="CC183" s="45"/>
      <c r="CD183" s="45"/>
      <c r="CE183" s="45"/>
      <c r="CF183" s="45"/>
      <c r="CG183" s="45"/>
      <c r="CH183" s="45"/>
      <c r="CI183" s="45"/>
      <c r="CJ183" s="45"/>
      <c r="CK183" s="2"/>
    </row>
    <row r="184" spans="1:89" ht="41.45" customHeight="1">
      <c r="A184" s="61" t="s">
        <v>419</v>
      </c>
      <c r="C184" s="62"/>
      <c r="D184" s="62" t="s">
        <v>64</v>
      </c>
      <c r="E184" s="63">
        <v>70</v>
      </c>
      <c r="F184" s="65"/>
      <c r="G184" s="101" t="str">
        <f>HYPERLINK("https://pbs.twimg.com/profile_images/1653794994598338561/53FIy7cg_normal.jpg")</f>
        <v>https://pbs.twimg.com/profile_images/1653794994598338561/53FIy7cg_normal.jpg</v>
      </c>
      <c r="H184" s="62"/>
      <c r="I184" s="66" t="s">
        <v>419</v>
      </c>
      <c r="J184" s="67"/>
      <c r="K184" s="67" t="s">
        <v>75</v>
      </c>
      <c r="L184" s="66" t="s">
        <v>2274</v>
      </c>
      <c r="M184" s="70">
        <v>2000.6</v>
      </c>
      <c r="N184" s="71">
        <v>3067.7236328125</v>
      </c>
      <c r="O184" s="71">
        <v>9948.6015625</v>
      </c>
      <c r="P184" s="72"/>
      <c r="Q184" s="73"/>
      <c r="R184" s="73"/>
      <c r="S184" s="87"/>
      <c r="T184" s="45">
        <v>1</v>
      </c>
      <c r="U184" s="45">
        <v>0</v>
      </c>
      <c r="V184" s="46">
        <v>0</v>
      </c>
      <c r="W184" s="46">
        <v>0.024699</v>
      </c>
      <c r="X184" s="46">
        <v>0.297321</v>
      </c>
      <c r="Y184" s="46">
        <v>0.004125</v>
      </c>
      <c r="Z184" s="46">
        <v>0</v>
      </c>
      <c r="AA184" s="46">
        <v>0</v>
      </c>
      <c r="AB184" s="68">
        <v>183</v>
      </c>
      <c r="AC184" s="68"/>
      <c r="AD184" s="69"/>
      <c r="AE184" s="76" t="s">
        <v>1506</v>
      </c>
      <c r="AF184" s="80" t="s">
        <v>1626</v>
      </c>
      <c r="AG184" s="76">
        <v>9416</v>
      </c>
      <c r="AH184" s="76">
        <v>752</v>
      </c>
      <c r="AI184" s="76">
        <v>6172</v>
      </c>
      <c r="AJ184" s="76">
        <v>377</v>
      </c>
      <c r="AK184" s="76">
        <v>3875</v>
      </c>
      <c r="AL184" s="76">
        <v>1617</v>
      </c>
      <c r="AM184" s="76" t="b">
        <v>0</v>
      </c>
      <c r="AN184" s="78">
        <v>40025.92134259259</v>
      </c>
      <c r="AO184" s="76" t="s">
        <v>1734</v>
      </c>
      <c r="AP184" s="76" t="s">
        <v>1921</v>
      </c>
      <c r="AQ184" s="82" t="str">
        <f>HYPERLINK("https://t.co/fi6vgWHvrT")</f>
        <v>https://t.co/fi6vgWHvrT</v>
      </c>
      <c r="AR184" s="82" t="str">
        <f>HYPERLINK("http://sos.oregon.gov/")</f>
        <v>http://sos.oregon.gov/</v>
      </c>
      <c r="AS184" s="76" t="s">
        <v>2036</v>
      </c>
      <c r="AT184" s="76"/>
      <c r="AU184" s="76"/>
      <c r="AV184" s="76"/>
      <c r="AW184" s="76">
        <v>1.72956825922433E+18</v>
      </c>
      <c r="AX184" s="82" t="str">
        <f>HYPERLINK("https://t.co/fi6vgWHvrT")</f>
        <v>https://t.co/fi6vgWHvrT</v>
      </c>
      <c r="AY184" s="76" t="b">
        <v>0</v>
      </c>
      <c r="AZ184" s="76"/>
      <c r="BA184" s="76"/>
      <c r="BB184" s="76" t="b">
        <v>0</v>
      </c>
      <c r="BC184" s="76" t="b">
        <v>1</v>
      </c>
      <c r="BD184" s="76" t="b">
        <v>0</v>
      </c>
      <c r="BE184" s="76" t="b">
        <v>0</v>
      </c>
      <c r="BF184" s="76" t="b">
        <v>1</v>
      </c>
      <c r="BG184" s="76" t="b">
        <v>0</v>
      </c>
      <c r="BH184" s="76" t="b">
        <v>0</v>
      </c>
      <c r="BI184" s="82" t="str">
        <f>HYPERLINK("https://pbs.twimg.com/profile_banners/61887216/1683130611")</f>
        <v>https://pbs.twimg.com/profile_banners/61887216/1683130611</v>
      </c>
      <c r="BJ184" s="76"/>
      <c r="BK184" s="76" t="s">
        <v>2092</v>
      </c>
      <c r="BL184" s="76" t="b">
        <v>0</v>
      </c>
      <c r="BM184" s="76"/>
      <c r="BN184" s="76" t="s">
        <v>65</v>
      </c>
      <c r="BO184" s="76" t="s">
        <v>2094</v>
      </c>
      <c r="BP184" s="82" t="str">
        <f>HYPERLINK("https://twitter.com/oregonsos")</f>
        <v>https://twitter.com/oregonsos</v>
      </c>
      <c r="BQ184" s="76" t="str">
        <f>REPLACE(INDEX(GroupVertices[Group],MATCH("~"&amp;Vertices[[#This Row],[Vertex]],GroupVertices[Vertex],0)),1,1,"")</f>
        <v>3</v>
      </c>
      <c r="BR184" s="45"/>
      <c r="BS184" s="46"/>
      <c r="BT184" s="45"/>
      <c r="BU184" s="46"/>
      <c r="BV184" s="45"/>
      <c r="BW184" s="46"/>
      <c r="BX184" s="45"/>
      <c r="BY184" s="46"/>
      <c r="BZ184" s="45"/>
      <c r="CA184" s="45"/>
      <c r="CB184" s="45"/>
      <c r="CC184" s="45"/>
      <c r="CD184" s="45"/>
      <c r="CE184" s="45"/>
      <c r="CF184" s="45"/>
      <c r="CG184" s="45"/>
      <c r="CH184" s="45"/>
      <c r="CI184" s="45"/>
      <c r="CJ184" s="45"/>
      <c r="CK184" s="2"/>
    </row>
    <row r="185" spans="1:89" ht="41.45" customHeight="1">
      <c r="A185" s="61" t="s">
        <v>420</v>
      </c>
      <c r="C185" s="62"/>
      <c r="D185" s="62" t="s">
        <v>64</v>
      </c>
      <c r="E185" s="63">
        <v>70</v>
      </c>
      <c r="F185" s="65"/>
      <c r="G185" s="101" t="str">
        <f>HYPERLINK("https://pbs.twimg.com/profile_images/1102808872018894848/GbEeWg3U_normal.png")</f>
        <v>https://pbs.twimg.com/profile_images/1102808872018894848/GbEeWg3U_normal.png</v>
      </c>
      <c r="H185" s="62"/>
      <c r="I185" s="66" t="s">
        <v>420</v>
      </c>
      <c r="J185" s="67"/>
      <c r="K185" s="67" t="s">
        <v>75</v>
      </c>
      <c r="L185" s="66" t="s">
        <v>2275</v>
      </c>
      <c r="M185" s="70">
        <v>2000.6</v>
      </c>
      <c r="N185" s="71">
        <v>2810.491943359375</v>
      </c>
      <c r="O185" s="71">
        <v>6169.33203125</v>
      </c>
      <c r="P185" s="72"/>
      <c r="Q185" s="73"/>
      <c r="R185" s="73"/>
      <c r="S185" s="87"/>
      <c r="T185" s="45">
        <v>1</v>
      </c>
      <c r="U185" s="45">
        <v>0</v>
      </c>
      <c r="V185" s="46">
        <v>0</v>
      </c>
      <c r="W185" s="46">
        <v>0.024699</v>
      </c>
      <c r="X185" s="46">
        <v>0.297321</v>
      </c>
      <c r="Y185" s="46">
        <v>0.004125</v>
      </c>
      <c r="Z185" s="46">
        <v>0</v>
      </c>
      <c r="AA185" s="46">
        <v>0</v>
      </c>
      <c r="AB185" s="68">
        <v>184</v>
      </c>
      <c r="AC185" s="68"/>
      <c r="AD185" s="69"/>
      <c r="AE185" s="76" t="s">
        <v>1507</v>
      </c>
      <c r="AF185" s="80" t="s">
        <v>1627</v>
      </c>
      <c r="AG185" s="76">
        <v>104772</v>
      </c>
      <c r="AH185" s="76">
        <v>8715</v>
      </c>
      <c r="AI185" s="76">
        <v>5407</v>
      </c>
      <c r="AJ185" s="76">
        <v>1081</v>
      </c>
      <c r="AK185" s="76">
        <v>2703</v>
      </c>
      <c r="AL185" s="76">
        <v>594</v>
      </c>
      <c r="AM185" s="76" t="b">
        <v>0</v>
      </c>
      <c r="AN185" s="78">
        <v>40517.668958333335</v>
      </c>
      <c r="AO185" s="76"/>
      <c r="AP185" s="76" t="s">
        <v>1922</v>
      </c>
      <c r="AQ185" s="82" t="str">
        <f>HYPERLINK("https://t.co/RWj052cXa3")</f>
        <v>https://t.co/RWj052cXa3</v>
      </c>
      <c r="AR185" s="82" t="str">
        <f>HYPERLINK("http://JeffMerkley.com")</f>
        <v>http://JeffMerkley.com</v>
      </c>
      <c r="AS185" s="76" t="s">
        <v>2037</v>
      </c>
      <c r="AT185" s="76"/>
      <c r="AU185" s="76"/>
      <c r="AV185" s="76"/>
      <c r="AW185" s="76"/>
      <c r="AX185" s="82" t="str">
        <f>HYPERLINK("https://t.co/RWj052cXa3")</f>
        <v>https://t.co/RWj052cXa3</v>
      </c>
      <c r="AY185" s="76" t="b">
        <v>0</v>
      </c>
      <c r="AZ185" s="76"/>
      <c r="BA185" s="76"/>
      <c r="BB185" s="76" t="b">
        <v>0</v>
      </c>
      <c r="BC185" s="76" t="b">
        <v>1</v>
      </c>
      <c r="BD185" s="76" t="b">
        <v>0</v>
      </c>
      <c r="BE185" s="76" t="b">
        <v>0</v>
      </c>
      <c r="BF185" s="76" t="b">
        <v>0</v>
      </c>
      <c r="BG185" s="76" t="b">
        <v>0</v>
      </c>
      <c r="BH185" s="76" t="b">
        <v>0</v>
      </c>
      <c r="BI185" s="82" t="str">
        <f>HYPERLINK("https://pbs.twimg.com/profile_banners/223166587/1629755071")</f>
        <v>https://pbs.twimg.com/profile_banners/223166587/1629755071</v>
      </c>
      <c r="BJ185" s="76"/>
      <c r="BK185" s="76" t="s">
        <v>2092</v>
      </c>
      <c r="BL185" s="76" t="b">
        <v>0</v>
      </c>
      <c r="BM185" s="76"/>
      <c r="BN185" s="76" t="s">
        <v>65</v>
      </c>
      <c r="BO185" s="76" t="s">
        <v>2094</v>
      </c>
      <c r="BP185" s="82" t="str">
        <f>HYPERLINK("https://twitter.com/jeffmerkley")</f>
        <v>https://twitter.com/jeffmerkley</v>
      </c>
      <c r="BQ185" s="76" t="str">
        <f>REPLACE(INDEX(GroupVertices[Group],MATCH("~"&amp;Vertices[[#This Row],[Vertex]],GroupVertices[Vertex],0)),1,1,"")</f>
        <v>3</v>
      </c>
      <c r="BR185" s="45"/>
      <c r="BS185" s="46"/>
      <c r="BT185" s="45"/>
      <c r="BU185" s="46"/>
      <c r="BV185" s="45"/>
      <c r="BW185" s="46"/>
      <c r="BX185" s="45"/>
      <c r="BY185" s="46"/>
      <c r="BZ185" s="45"/>
      <c r="CA185" s="45"/>
      <c r="CB185" s="45"/>
      <c r="CC185" s="45"/>
      <c r="CD185" s="45"/>
      <c r="CE185" s="45"/>
      <c r="CF185" s="45"/>
      <c r="CG185" s="45"/>
      <c r="CH185" s="45"/>
      <c r="CI185" s="45"/>
      <c r="CJ185" s="45"/>
      <c r="CK185" s="2"/>
    </row>
    <row r="186" spans="1:89" ht="41.45" customHeight="1">
      <c r="A186" s="61" t="s">
        <v>421</v>
      </c>
      <c r="C186" s="62"/>
      <c r="D186" s="62" t="s">
        <v>64</v>
      </c>
      <c r="E186" s="63">
        <v>70</v>
      </c>
      <c r="F186" s="65"/>
      <c r="G186" s="101" t="str">
        <f>HYPERLINK("https://pbs.twimg.com/profile_images/1163549676383035392/21b1zSK8_normal.jpg")</f>
        <v>https://pbs.twimg.com/profile_images/1163549676383035392/21b1zSK8_normal.jpg</v>
      </c>
      <c r="H186" s="62"/>
      <c r="I186" s="66" t="s">
        <v>421</v>
      </c>
      <c r="J186" s="67"/>
      <c r="K186" s="67" t="s">
        <v>75</v>
      </c>
      <c r="L186" s="66" t="s">
        <v>2276</v>
      </c>
      <c r="M186" s="70">
        <v>2000.6</v>
      </c>
      <c r="N186" s="71">
        <v>3275.841552734375</v>
      </c>
      <c r="O186" s="71">
        <v>9213.5888671875</v>
      </c>
      <c r="P186" s="72"/>
      <c r="Q186" s="73"/>
      <c r="R186" s="73"/>
      <c r="S186" s="87"/>
      <c r="T186" s="45">
        <v>1</v>
      </c>
      <c r="U186" s="45">
        <v>0</v>
      </c>
      <c r="V186" s="46">
        <v>0</v>
      </c>
      <c r="W186" s="46">
        <v>0.024699</v>
      </c>
      <c r="X186" s="46">
        <v>0.297321</v>
      </c>
      <c r="Y186" s="46">
        <v>0.004125</v>
      </c>
      <c r="Z186" s="46">
        <v>0</v>
      </c>
      <c r="AA186" s="46">
        <v>0</v>
      </c>
      <c r="AB186" s="68">
        <v>185</v>
      </c>
      <c r="AC186" s="68"/>
      <c r="AD186" s="69"/>
      <c r="AE186" s="76" t="s">
        <v>1508</v>
      </c>
      <c r="AF186" s="80" t="s">
        <v>1628</v>
      </c>
      <c r="AG186" s="76">
        <v>71225</v>
      </c>
      <c r="AH186" s="76">
        <v>1296</v>
      </c>
      <c r="AI186" s="76">
        <v>5292</v>
      </c>
      <c r="AJ186" s="76">
        <v>2051</v>
      </c>
      <c r="AK186" s="76">
        <v>463</v>
      </c>
      <c r="AL186" s="76">
        <v>1080</v>
      </c>
      <c r="AM186" s="76" t="b">
        <v>0</v>
      </c>
      <c r="AN186" s="78">
        <v>39683.276921296296</v>
      </c>
      <c r="AO186" s="76" t="s">
        <v>852</v>
      </c>
      <c r="AP186" s="76" t="s">
        <v>1923</v>
      </c>
      <c r="AQ186" s="82" t="str">
        <f>HYPERLINK("https://t.co/oD29Wzblre")</f>
        <v>https://t.co/oD29Wzblre</v>
      </c>
      <c r="AR186" s="82" t="str">
        <f>HYPERLINK("https://www.earlblumenauer.com/")</f>
        <v>https://www.earlblumenauer.com/</v>
      </c>
      <c r="AS186" s="76" t="s">
        <v>2038</v>
      </c>
      <c r="AT186" s="76"/>
      <c r="AU186" s="76"/>
      <c r="AV186" s="76"/>
      <c r="AW186" s="76"/>
      <c r="AX186" s="82" t="str">
        <f>HYPERLINK("https://t.co/oD29Wzblre")</f>
        <v>https://t.co/oD29Wzblre</v>
      </c>
      <c r="AY186" s="76" t="b">
        <v>0</v>
      </c>
      <c r="AZ186" s="76"/>
      <c r="BA186" s="76"/>
      <c r="BB186" s="76" t="b">
        <v>0</v>
      </c>
      <c r="BC186" s="76" t="b">
        <v>1</v>
      </c>
      <c r="BD186" s="76" t="b">
        <v>0</v>
      </c>
      <c r="BE186" s="76" t="b">
        <v>0</v>
      </c>
      <c r="BF186" s="76" t="b">
        <v>0</v>
      </c>
      <c r="BG186" s="76" t="b">
        <v>0</v>
      </c>
      <c r="BH186" s="76" t="b">
        <v>0</v>
      </c>
      <c r="BI186" s="82" t="str">
        <f>HYPERLINK("https://pbs.twimg.com/profile_banners/15954997/1605671658")</f>
        <v>https://pbs.twimg.com/profile_banners/15954997/1605671658</v>
      </c>
      <c r="BJ186" s="76"/>
      <c r="BK186" s="76" t="s">
        <v>2092</v>
      </c>
      <c r="BL186" s="76" t="b">
        <v>0</v>
      </c>
      <c r="BM186" s="76"/>
      <c r="BN186" s="76" t="s">
        <v>65</v>
      </c>
      <c r="BO186" s="76" t="s">
        <v>2094</v>
      </c>
      <c r="BP186" s="82" t="str">
        <f>HYPERLINK("https://twitter.com/repblumenauer")</f>
        <v>https://twitter.com/repblumenauer</v>
      </c>
      <c r="BQ186" s="76" t="str">
        <f>REPLACE(INDEX(GroupVertices[Group],MATCH("~"&amp;Vertices[[#This Row],[Vertex]],GroupVertices[Vertex],0)),1,1,"")</f>
        <v>3</v>
      </c>
      <c r="BR186" s="45"/>
      <c r="BS186" s="46"/>
      <c r="BT186" s="45"/>
      <c r="BU186" s="46"/>
      <c r="BV186" s="45"/>
      <c r="BW186" s="46"/>
      <c r="BX186" s="45"/>
      <c r="BY186" s="46"/>
      <c r="BZ186" s="45"/>
      <c r="CA186" s="45"/>
      <c r="CB186" s="45"/>
      <c r="CC186" s="45"/>
      <c r="CD186" s="45"/>
      <c r="CE186" s="45"/>
      <c r="CF186" s="45"/>
      <c r="CG186" s="45"/>
      <c r="CH186" s="45"/>
      <c r="CI186" s="45"/>
      <c r="CJ186" s="45"/>
      <c r="CK186" s="2"/>
    </row>
    <row r="187" spans="1:89" ht="41.45" customHeight="1">
      <c r="A187" s="61" t="s">
        <v>422</v>
      </c>
      <c r="C187" s="62"/>
      <c r="D187" s="62" t="s">
        <v>64</v>
      </c>
      <c r="E187" s="63">
        <v>70</v>
      </c>
      <c r="F187" s="65"/>
      <c r="G187" s="101" t="str">
        <f>HYPERLINK("https://pbs.twimg.com/profile_images/1227347272075272193/GH2CwHqF_normal.jpg")</f>
        <v>https://pbs.twimg.com/profile_images/1227347272075272193/GH2CwHqF_normal.jpg</v>
      </c>
      <c r="H187" s="62"/>
      <c r="I187" s="66" t="s">
        <v>422</v>
      </c>
      <c r="J187" s="67"/>
      <c r="K187" s="67" t="s">
        <v>75</v>
      </c>
      <c r="L187" s="66" t="s">
        <v>2277</v>
      </c>
      <c r="M187" s="70">
        <v>2000.6</v>
      </c>
      <c r="N187" s="71">
        <v>2967.118408203125</v>
      </c>
      <c r="O187" s="71">
        <v>5221.251953125</v>
      </c>
      <c r="P187" s="72"/>
      <c r="Q187" s="73"/>
      <c r="R187" s="73"/>
      <c r="S187" s="87"/>
      <c r="T187" s="45">
        <v>1</v>
      </c>
      <c r="U187" s="45">
        <v>0</v>
      </c>
      <c r="V187" s="46">
        <v>0</v>
      </c>
      <c r="W187" s="46">
        <v>0.024699</v>
      </c>
      <c r="X187" s="46">
        <v>0.297321</v>
      </c>
      <c r="Y187" s="46">
        <v>0.004125</v>
      </c>
      <c r="Z187" s="46">
        <v>0</v>
      </c>
      <c r="AA187" s="46">
        <v>0</v>
      </c>
      <c r="AB187" s="68">
        <v>186</v>
      </c>
      <c r="AC187" s="68"/>
      <c r="AD187" s="69"/>
      <c r="AE187" s="76" t="s">
        <v>1509</v>
      </c>
      <c r="AF187" s="80" t="s">
        <v>1197</v>
      </c>
      <c r="AG187" s="76">
        <v>36182</v>
      </c>
      <c r="AH187" s="76">
        <v>1318</v>
      </c>
      <c r="AI187" s="76">
        <v>13720</v>
      </c>
      <c r="AJ187" s="76">
        <v>1130</v>
      </c>
      <c r="AK187" s="76">
        <v>2066</v>
      </c>
      <c r="AL187" s="76">
        <v>2496</v>
      </c>
      <c r="AM187" s="76" t="b">
        <v>0</v>
      </c>
      <c r="AN187" s="78">
        <v>41019.68787037037</v>
      </c>
      <c r="AO187" s="76"/>
      <c r="AP187" s="76" t="s">
        <v>1924</v>
      </c>
      <c r="AQ187" s="82" t="str">
        <f>HYPERLINK("https://t.co/8JoiJrGT6b")</f>
        <v>https://t.co/8JoiJrGT6b</v>
      </c>
      <c r="AR187" s="82" t="str">
        <f>HYPERLINK("http://bonamici.house.gov/")</f>
        <v>http://bonamici.house.gov/</v>
      </c>
      <c r="AS187" s="76" t="s">
        <v>2039</v>
      </c>
      <c r="AT187" s="76"/>
      <c r="AU187" s="76"/>
      <c r="AV187" s="76"/>
      <c r="AW187" s="76">
        <v>1.74557084897768E+18</v>
      </c>
      <c r="AX187" s="82" t="str">
        <f>HYPERLINK("https://t.co/8JoiJrGT6b")</f>
        <v>https://t.co/8JoiJrGT6b</v>
      </c>
      <c r="AY187" s="76" t="b">
        <v>0</v>
      </c>
      <c r="AZ187" s="76"/>
      <c r="BA187" s="76"/>
      <c r="BB187" s="76" t="b">
        <v>0</v>
      </c>
      <c r="BC187" s="76" t="b">
        <v>1</v>
      </c>
      <c r="BD187" s="76" t="b">
        <v>0</v>
      </c>
      <c r="BE187" s="76" t="b">
        <v>0</v>
      </c>
      <c r="BF187" s="76" t="b">
        <v>1</v>
      </c>
      <c r="BG187" s="76" t="b">
        <v>0</v>
      </c>
      <c r="BH187" s="76" t="b">
        <v>0</v>
      </c>
      <c r="BI187" s="82" t="str">
        <f>HYPERLINK("https://pbs.twimg.com/profile_banners/558769636/1513624686")</f>
        <v>https://pbs.twimg.com/profile_banners/558769636/1513624686</v>
      </c>
      <c r="BJ187" s="76"/>
      <c r="BK187" s="76" t="s">
        <v>2092</v>
      </c>
      <c r="BL187" s="76" t="b">
        <v>0</v>
      </c>
      <c r="BM187" s="76"/>
      <c r="BN187" s="76" t="s">
        <v>65</v>
      </c>
      <c r="BO187" s="76" t="s">
        <v>2094</v>
      </c>
      <c r="BP187" s="82" t="str">
        <f>HYPERLINK("https://twitter.com/repbonamici")</f>
        <v>https://twitter.com/repbonamici</v>
      </c>
      <c r="BQ187" s="76" t="str">
        <f>REPLACE(INDEX(GroupVertices[Group],MATCH("~"&amp;Vertices[[#This Row],[Vertex]],GroupVertices[Vertex],0)),1,1,"")</f>
        <v>3</v>
      </c>
      <c r="BR187" s="45"/>
      <c r="BS187" s="46"/>
      <c r="BT187" s="45"/>
      <c r="BU187" s="46"/>
      <c r="BV187" s="45"/>
      <c r="BW187" s="46"/>
      <c r="BX187" s="45"/>
      <c r="BY187" s="46"/>
      <c r="BZ187" s="45"/>
      <c r="CA187" s="45"/>
      <c r="CB187" s="45"/>
      <c r="CC187" s="45"/>
      <c r="CD187" s="45"/>
      <c r="CE187" s="45"/>
      <c r="CF187" s="45"/>
      <c r="CG187" s="45"/>
      <c r="CH187" s="45"/>
      <c r="CI187" s="45"/>
      <c r="CJ187" s="45"/>
      <c r="CK187" s="2"/>
    </row>
    <row r="188" spans="1:89" ht="41.45" customHeight="1">
      <c r="A188" s="61" t="s">
        <v>423</v>
      </c>
      <c r="C188" s="62"/>
      <c r="D188" s="62" t="s">
        <v>64</v>
      </c>
      <c r="E188" s="63">
        <v>70</v>
      </c>
      <c r="F188" s="65"/>
      <c r="G188" s="101" t="str">
        <f>HYPERLINK("https://pbs.twimg.com/profile_images/1666923736132460544/9LWCHVOp_normal.jpg")</f>
        <v>https://pbs.twimg.com/profile_images/1666923736132460544/9LWCHVOp_normal.jpg</v>
      </c>
      <c r="H188" s="62"/>
      <c r="I188" s="66" t="s">
        <v>423</v>
      </c>
      <c r="J188" s="67"/>
      <c r="K188" s="67" t="s">
        <v>75</v>
      </c>
      <c r="L188" s="66" t="s">
        <v>2278</v>
      </c>
      <c r="M188" s="70">
        <v>2000.6</v>
      </c>
      <c r="N188" s="71">
        <v>2874.80029296875</v>
      </c>
      <c r="O188" s="71">
        <v>9252.494140625</v>
      </c>
      <c r="P188" s="72"/>
      <c r="Q188" s="73"/>
      <c r="R188" s="73"/>
      <c r="S188" s="87"/>
      <c r="T188" s="45">
        <v>1</v>
      </c>
      <c r="U188" s="45">
        <v>0</v>
      </c>
      <c r="V188" s="46">
        <v>0</v>
      </c>
      <c r="W188" s="46">
        <v>0.024699</v>
      </c>
      <c r="X188" s="46">
        <v>0.297321</v>
      </c>
      <c r="Y188" s="46">
        <v>0.004125</v>
      </c>
      <c r="Z188" s="46">
        <v>0</v>
      </c>
      <c r="AA188" s="46">
        <v>0</v>
      </c>
      <c r="AB188" s="68">
        <v>187</v>
      </c>
      <c r="AC188" s="68"/>
      <c r="AD188" s="69"/>
      <c r="AE188" s="76" t="s">
        <v>1510</v>
      </c>
      <c r="AF188" s="80" t="s">
        <v>1629</v>
      </c>
      <c r="AG188" s="76">
        <v>11338151</v>
      </c>
      <c r="AH188" s="76">
        <v>195</v>
      </c>
      <c r="AI188" s="76">
        <v>4830</v>
      </c>
      <c r="AJ188" s="76">
        <v>28201</v>
      </c>
      <c r="AK188" s="76">
        <v>191</v>
      </c>
      <c r="AL188" s="76">
        <v>956</v>
      </c>
      <c r="AM188" s="76" t="b">
        <v>0</v>
      </c>
      <c r="AN188" s="78">
        <v>39876.002222222225</v>
      </c>
      <c r="AO188" s="76"/>
      <c r="AP188" s="76"/>
      <c r="AQ188" s="82" t="str">
        <f>HYPERLINK("https://t.co/EXHy6K8vLS")</f>
        <v>https://t.co/EXHy6K8vLS</v>
      </c>
      <c r="AR188" s="82" t="str">
        <f>HYPERLINK("http://TuckerCarlson.com")</f>
        <v>http://TuckerCarlson.com</v>
      </c>
      <c r="AS188" s="76" t="s">
        <v>2040</v>
      </c>
      <c r="AT188" s="76"/>
      <c r="AU188" s="76"/>
      <c r="AV188" s="76"/>
      <c r="AW188" s="76">
        <v>1.7520022591672E+18</v>
      </c>
      <c r="AX188" s="82" t="str">
        <f>HYPERLINK("https://t.co/EXHy6K8vLS")</f>
        <v>https://t.co/EXHy6K8vLS</v>
      </c>
      <c r="AY188" s="76" t="b">
        <v>1</v>
      </c>
      <c r="AZ188" s="76"/>
      <c r="BA188" s="76"/>
      <c r="BB188" s="76" t="b">
        <v>1</v>
      </c>
      <c r="BC188" s="76" t="b">
        <v>1</v>
      </c>
      <c r="BD188" s="76" t="b">
        <v>0</v>
      </c>
      <c r="BE188" s="76" t="b">
        <v>0</v>
      </c>
      <c r="BF188" s="76" t="b">
        <v>1</v>
      </c>
      <c r="BG188" s="76" t="b">
        <v>0</v>
      </c>
      <c r="BH188" s="76" t="b">
        <v>0</v>
      </c>
      <c r="BI188" s="82" t="str">
        <f>HYPERLINK("https://pbs.twimg.com/profile_banners/22703645/1686260583")</f>
        <v>https://pbs.twimg.com/profile_banners/22703645/1686260583</v>
      </c>
      <c r="BJ188" s="76"/>
      <c r="BK188" s="76" t="s">
        <v>2092</v>
      </c>
      <c r="BL188" s="76" t="b">
        <v>0</v>
      </c>
      <c r="BM188" s="76"/>
      <c r="BN188" s="76" t="s">
        <v>65</v>
      </c>
      <c r="BO188" s="76" t="s">
        <v>2094</v>
      </c>
      <c r="BP188" s="82" t="str">
        <f>HYPERLINK("https://twitter.com/tuckercarlson")</f>
        <v>https://twitter.com/tuckercarlson</v>
      </c>
      <c r="BQ188" s="76" t="str">
        <f>REPLACE(INDEX(GroupVertices[Group],MATCH("~"&amp;Vertices[[#This Row],[Vertex]],GroupVertices[Vertex],0)),1,1,"")</f>
        <v>3</v>
      </c>
      <c r="BR188" s="45"/>
      <c r="BS188" s="46"/>
      <c r="BT188" s="45"/>
      <c r="BU188" s="46"/>
      <c r="BV188" s="45"/>
      <c r="BW188" s="46"/>
      <c r="BX188" s="45"/>
      <c r="BY188" s="46"/>
      <c r="BZ188" s="45"/>
      <c r="CA188" s="45"/>
      <c r="CB188" s="45"/>
      <c r="CC188" s="45"/>
      <c r="CD188" s="45"/>
      <c r="CE188" s="45"/>
      <c r="CF188" s="45"/>
      <c r="CG188" s="45"/>
      <c r="CH188" s="45"/>
      <c r="CI188" s="45"/>
      <c r="CJ188" s="45"/>
      <c r="CK188" s="2"/>
    </row>
    <row r="189" spans="1:89" ht="41.45" customHeight="1">
      <c r="A189" s="61" t="s">
        <v>424</v>
      </c>
      <c r="C189" s="62"/>
      <c r="D189" s="62" t="s">
        <v>64</v>
      </c>
      <c r="E189" s="63">
        <v>70</v>
      </c>
      <c r="F189" s="65"/>
      <c r="G189" s="101" t="str">
        <f>HYPERLINK("https://pbs.twimg.com/profile_images/1402771730582622212/gwApDT26_normal.jpg")</f>
        <v>https://pbs.twimg.com/profile_images/1402771730582622212/gwApDT26_normal.jpg</v>
      </c>
      <c r="H189" s="62"/>
      <c r="I189" s="66" t="s">
        <v>424</v>
      </c>
      <c r="J189" s="67"/>
      <c r="K189" s="67" t="s">
        <v>75</v>
      </c>
      <c r="L189" s="66" t="s">
        <v>2279</v>
      </c>
      <c r="M189" s="70">
        <v>2000.6</v>
      </c>
      <c r="N189" s="71">
        <v>3356.12744140625</v>
      </c>
      <c r="O189" s="71">
        <v>6666.63525390625</v>
      </c>
      <c r="P189" s="72"/>
      <c r="Q189" s="73"/>
      <c r="R189" s="73"/>
      <c r="S189" s="87"/>
      <c r="T189" s="45">
        <v>1</v>
      </c>
      <c r="U189" s="45">
        <v>0</v>
      </c>
      <c r="V189" s="46">
        <v>0</v>
      </c>
      <c r="W189" s="46">
        <v>0.024699</v>
      </c>
      <c r="X189" s="46">
        <v>0.297321</v>
      </c>
      <c r="Y189" s="46">
        <v>0.004125</v>
      </c>
      <c r="Z189" s="46">
        <v>0</v>
      </c>
      <c r="AA189" s="46">
        <v>0</v>
      </c>
      <c r="AB189" s="68">
        <v>188</v>
      </c>
      <c r="AC189" s="68"/>
      <c r="AD189" s="69"/>
      <c r="AE189" s="76" t="s">
        <v>1511</v>
      </c>
      <c r="AF189" s="80" t="s">
        <v>1630</v>
      </c>
      <c r="AG189" s="76">
        <v>6500614</v>
      </c>
      <c r="AH189" s="76">
        <v>13</v>
      </c>
      <c r="AI189" s="76">
        <v>27626</v>
      </c>
      <c r="AJ189" s="76">
        <v>20892</v>
      </c>
      <c r="AK189" s="76">
        <v>92</v>
      </c>
      <c r="AL189" s="76">
        <v>1182</v>
      </c>
      <c r="AM189" s="76" t="b">
        <v>0</v>
      </c>
      <c r="AN189" s="78">
        <v>39954.73694444444</v>
      </c>
      <c r="AO189" s="76" t="s">
        <v>1702</v>
      </c>
      <c r="AP189" s="76" t="s">
        <v>1925</v>
      </c>
      <c r="AQ189" s="82" t="str">
        <f>HYPERLINK("https://t.co/NVYzWzCPMh")</f>
        <v>https://t.co/NVYzWzCPMh</v>
      </c>
      <c r="AR189" s="82" t="str">
        <f>HYPERLINK("https://hannity.com")</f>
        <v>https://hannity.com</v>
      </c>
      <c r="AS189" s="76" t="s">
        <v>2041</v>
      </c>
      <c r="AT189" s="82" t="str">
        <f>HYPERLINK("https://t.co/0WmPPuxbkF")</f>
        <v>https://t.co/0WmPPuxbkF</v>
      </c>
      <c r="AU189" s="82" t="str">
        <f>HYPERLINK("http://Hannity.com")</f>
        <v>http://Hannity.com</v>
      </c>
      <c r="AV189" s="76" t="s">
        <v>2086</v>
      </c>
      <c r="AW189" s="76"/>
      <c r="AX189" s="82" t="str">
        <f>HYPERLINK("https://t.co/NVYzWzCPMh")</f>
        <v>https://t.co/NVYzWzCPMh</v>
      </c>
      <c r="AY189" s="76" t="b">
        <v>1</v>
      </c>
      <c r="AZ189" s="76"/>
      <c r="BA189" s="76"/>
      <c r="BB189" s="76" t="b">
        <v>0</v>
      </c>
      <c r="BC189" s="76" t="b">
        <v>0</v>
      </c>
      <c r="BD189" s="76" t="b">
        <v>0</v>
      </c>
      <c r="BE189" s="76" t="b">
        <v>0</v>
      </c>
      <c r="BF189" s="76" t="b">
        <v>1</v>
      </c>
      <c r="BG189" s="76" t="b">
        <v>0</v>
      </c>
      <c r="BH189" s="76" t="b">
        <v>0</v>
      </c>
      <c r="BI189" s="82" t="str">
        <f>HYPERLINK("https://pbs.twimg.com/profile_banners/41634520/1697638342")</f>
        <v>https://pbs.twimg.com/profile_banners/41634520/1697638342</v>
      </c>
      <c r="BJ189" s="76"/>
      <c r="BK189" s="76" t="s">
        <v>2092</v>
      </c>
      <c r="BL189" s="76" t="b">
        <v>0</v>
      </c>
      <c r="BM189" s="76"/>
      <c r="BN189" s="76" t="s">
        <v>65</v>
      </c>
      <c r="BO189" s="76" t="s">
        <v>2094</v>
      </c>
      <c r="BP189" s="82" t="str">
        <f>HYPERLINK("https://twitter.com/seanhannity")</f>
        <v>https://twitter.com/seanhannity</v>
      </c>
      <c r="BQ189" s="76" t="str">
        <f>REPLACE(INDEX(GroupVertices[Group],MATCH("~"&amp;Vertices[[#This Row],[Vertex]],GroupVertices[Vertex],0)),1,1,"")</f>
        <v>3</v>
      </c>
      <c r="BR189" s="45"/>
      <c r="BS189" s="46"/>
      <c r="BT189" s="45"/>
      <c r="BU189" s="46"/>
      <c r="BV189" s="45"/>
      <c r="BW189" s="46"/>
      <c r="BX189" s="45"/>
      <c r="BY189" s="46"/>
      <c r="BZ189" s="45"/>
      <c r="CA189" s="45"/>
      <c r="CB189" s="45"/>
      <c r="CC189" s="45"/>
      <c r="CD189" s="45"/>
      <c r="CE189" s="45"/>
      <c r="CF189" s="45"/>
      <c r="CG189" s="45"/>
      <c r="CH189" s="45"/>
      <c r="CI189" s="45"/>
      <c r="CJ189" s="45"/>
      <c r="CK189" s="2"/>
    </row>
    <row r="190" spans="1:89" ht="41.45" customHeight="1">
      <c r="A190" s="61" t="s">
        <v>425</v>
      </c>
      <c r="C190" s="62"/>
      <c r="D190" s="62" t="s">
        <v>64</v>
      </c>
      <c r="E190" s="63">
        <v>70</v>
      </c>
      <c r="F190" s="65"/>
      <c r="G190" s="101" t="str">
        <f>HYPERLINK("https://pbs.twimg.com/profile_images/1618711377992101890/RY_0VEw1_normal.jpg")</f>
        <v>https://pbs.twimg.com/profile_images/1618711377992101890/RY_0VEw1_normal.jpg</v>
      </c>
      <c r="H190" s="62"/>
      <c r="I190" s="66" t="s">
        <v>425</v>
      </c>
      <c r="J190" s="67"/>
      <c r="K190" s="67" t="s">
        <v>75</v>
      </c>
      <c r="L190" s="66" t="s">
        <v>2280</v>
      </c>
      <c r="M190" s="70">
        <v>2000.6</v>
      </c>
      <c r="N190" s="71">
        <v>3384.194091796875</v>
      </c>
      <c r="O190" s="71">
        <v>8015.8623046875</v>
      </c>
      <c r="P190" s="72"/>
      <c r="Q190" s="73"/>
      <c r="R190" s="73"/>
      <c r="S190" s="87"/>
      <c r="T190" s="45">
        <v>1</v>
      </c>
      <c r="U190" s="45">
        <v>0</v>
      </c>
      <c r="V190" s="46">
        <v>0</v>
      </c>
      <c r="W190" s="46">
        <v>0.024699</v>
      </c>
      <c r="X190" s="46">
        <v>0.297321</v>
      </c>
      <c r="Y190" s="46">
        <v>0.004125</v>
      </c>
      <c r="Z190" s="46">
        <v>0</v>
      </c>
      <c r="AA190" s="46">
        <v>0</v>
      </c>
      <c r="AB190" s="68">
        <v>189</v>
      </c>
      <c r="AC190" s="68"/>
      <c r="AD190" s="69"/>
      <c r="AE190" s="76" t="s">
        <v>1512</v>
      </c>
      <c r="AF190" s="80" t="s">
        <v>1198</v>
      </c>
      <c r="AG190" s="76">
        <v>71567</v>
      </c>
      <c r="AH190" s="76">
        <v>50070</v>
      </c>
      <c r="AI190" s="76">
        <v>286316</v>
      </c>
      <c r="AJ190" s="76">
        <v>37</v>
      </c>
      <c r="AK190" s="76">
        <v>121953</v>
      </c>
      <c r="AL190" s="76">
        <v>10514</v>
      </c>
      <c r="AM190" s="76" t="b">
        <v>0</v>
      </c>
      <c r="AN190" s="78">
        <v>42956.11142361111</v>
      </c>
      <c r="AO190" s="76" t="s">
        <v>1735</v>
      </c>
      <c r="AP190" s="76" t="s">
        <v>1926</v>
      </c>
      <c r="AQ190" s="76"/>
      <c r="AR190" s="76"/>
      <c r="AS190" s="76"/>
      <c r="AT190" s="76"/>
      <c r="AU190" s="76"/>
      <c r="AV190" s="76"/>
      <c r="AW190" s="76">
        <v>1.74995111120386E+18</v>
      </c>
      <c r="AX190" s="76"/>
      <c r="AY190" s="76" t="b">
        <v>1</v>
      </c>
      <c r="AZ190" s="76"/>
      <c r="BA190" s="76"/>
      <c r="BB190" s="76" t="b">
        <v>1</v>
      </c>
      <c r="BC190" s="76" t="b">
        <v>0</v>
      </c>
      <c r="BD190" s="76" t="b">
        <v>0</v>
      </c>
      <c r="BE190" s="76" t="b">
        <v>0</v>
      </c>
      <c r="BF190" s="76" t="b">
        <v>1</v>
      </c>
      <c r="BG190" s="76" t="b">
        <v>0</v>
      </c>
      <c r="BH190" s="76" t="b">
        <v>0</v>
      </c>
      <c r="BI190" s="82" t="str">
        <f>HYPERLINK("https://pbs.twimg.com/profile_banners/895112509086089216/1673251644")</f>
        <v>https://pbs.twimg.com/profile_banners/895112509086089216/1673251644</v>
      </c>
      <c r="BJ190" s="76"/>
      <c r="BK190" s="76" t="s">
        <v>2092</v>
      </c>
      <c r="BL190" s="76" t="b">
        <v>0</v>
      </c>
      <c r="BM190" s="76"/>
      <c r="BN190" s="76" t="s">
        <v>65</v>
      </c>
      <c r="BO190" s="76" t="s">
        <v>2094</v>
      </c>
      <c r="BP190" s="82" t="str">
        <f>HYPERLINK("https://twitter.com/janninereid1")</f>
        <v>https://twitter.com/janninereid1</v>
      </c>
      <c r="BQ190" s="76" t="str">
        <f>REPLACE(INDEX(GroupVertices[Group],MATCH("~"&amp;Vertices[[#This Row],[Vertex]],GroupVertices[Vertex],0)),1,1,"")</f>
        <v>3</v>
      </c>
      <c r="BR190" s="45"/>
      <c r="BS190" s="46"/>
      <c r="BT190" s="45"/>
      <c r="BU190" s="46"/>
      <c r="BV190" s="45"/>
      <c r="BW190" s="46"/>
      <c r="BX190" s="45"/>
      <c r="BY190" s="46"/>
      <c r="BZ190" s="45"/>
      <c r="CA190" s="45"/>
      <c r="CB190" s="45"/>
      <c r="CC190" s="45"/>
      <c r="CD190" s="45"/>
      <c r="CE190" s="45"/>
      <c r="CF190" s="45"/>
      <c r="CG190" s="45"/>
      <c r="CH190" s="45"/>
      <c r="CI190" s="45"/>
      <c r="CJ190" s="45"/>
      <c r="CK190" s="2"/>
    </row>
    <row r="191" spans="1:89" ht="41.45" customHeight="1">
      <c r="A191" s="61" t="s">
        <v>426</v>
      </c>
      <c r="C191" s="62"/>
      <c r="D191" s="62" t="s">
        <v>64</v>
      </c>
      <c r="E191" s="63">
        <v>70</v>
      </c>
      <c r="F191" s="65"/>
      <c r="G191" s="101" t="str">
        <f>HYPERLINK("https://pbs.twimg.com/profile_images/1583553718221275136/FsnR2KcU_normal.jpg")</f>
        <v>https://pbs.twimg.com/profile_images/1583553718221275136/FsnR2KcU_normal.jpg</v>
      </c>
      <c r="H191" s="62"/>
      <c r="I191" s="66" t="s">
        <v>426</v>
      </c>
      <c r="J191" s="67"/>
      <c r="K191" s="67" t="s">
        <v>75</v>
      </c>
      <c r="L191" s="66" t="s">
        <v>2281</v>
      </c>
      <c r="M191" s="70">
        <v>2000.6</v>
      </c>
      <c r="N191" s="71">
        <v>3200.169677734375</v>
      </c>
      <c r="O191" s="71">
        <v>5654.43310546875</v>
      </c>
      <c r="P191" s="72"/>
      <c r="Q191" s="73"/>
      <c r="R191" s="73"/>
      <c r="S191" s="87"/>
      <c r="T191" s="45">
        <v>1</v>
      </c>
      <c r="U191" s="45">
        <v>0</v>
      </c>
      <c r="V191" s="46">
        <v>0</v>
      </c>
      <c r="W191" s="46">
        <v>0.024699</v>
      </c>
      <c r="X191" s="46">
        <v>0.297321</v>
      </c>
      <c r="Y191" s="46">
        <v>0.004125</v>
      </c>
      <c r="Z191" s="46">
        <v>0</v>
      </c>
      <c r="AA191" s="46">
        <v>0</v>
      </c>
      <c r="AB191" s="68">
        <v>190</v>
      </c>
      <c r="AC191" s="68"/>
      <c r="AD191" s="69"/>
      <c r="AE191" s="76" t="s">
        <v>1513</v>
      </c>
      <c r="AF191" s="80" t="s">
        <v>1199</v>
      </c>
      <c r="AG191" s="76">
        <v>35704</v>
      </c>
      <c r="AH191" s="76">
        <v>96</v>
      </c>
      <c r="AI191" s="76">
        <v>739</v>
      </c>
      <c r="AJ191" s="76">
        <v>250</v>
      </c>
      <c r="AK191" s="76">
        <v>435</v>
      </c>
      <c r="AL191" s="76">
        <v>197</v>
      </c>
      <c r="AM191" s="76" t="b">
        <v>0</v>
      </c>
      <c r="AN191" s="78">
        <v>44606.78071759259</v>
      </c>
      <c r="AO191" s="76" t="s">
        <v>1736</v>
      </c>
      <c r="AP191" s="76" t="s">
        <v>1927</v>
      </c>
      <c r="AQ191" s="82" t="str">
        <f>HYPERLINK("https://t.co/pMO7DGeHvC")</f>
        <v>https://t.co/pMO7DGeHvC</v>
      </c>
      <c r="AR191" s="82" t="str">
        <f>HYPERLINK("https://marieforcongress.com/")</f>
        <v>https://marieforcongress.com/</v>
      </c>
      <c r="AS191" s="76" t="s">
        <v>2042</v>
      </c>
      <c r="AT191" s="76"/>
      <c r="AU191" s="76"/>
      <c r="AV191" s="76"/>
      <c r="AW191" s="76">
        <v>1.58458657889023E+18</v>
      </c>
      <c r="AX191" s="82" t="str">
        <f>HYPERLINK("https://t.co/pMO7DGeHvC")</f>
        <v>https://t.co/pMO7DGeHvC</v>
      </c>
      <c r="AY191" s="76" t="b">
        <v>0</v>
      </c>
      <c r="AZ191" s="76"/>
      <c r="BA191" s="76"/>
      <c r="BB191" s="76" t="b">
        <v>1</v>
      </c>
      <c r="BC191" s="76" t="b">
        <v>1</v>
      </c>
      <c r="BD191" s="76" t="b">
        <v>1</v>
      </c>
      <c r="BE191" s="76" t="b">
        <v>0</v>
      </c>
      <c r="BF191" s="76" t="b">
        <v>1</v>
      </c>
      <c r="BG191" s="76" t="b">
        <v>0</v>
      </c>
      <c r="BH191" s="76" t="b">
        <v>0</v>
      </c>
      <c r="BI191" s="82" t="str">
        <f>HYPERLINK("https://pbs.twimg.com/profile_banners/1493294940708696069/1666383613")</f>
        <v>https://pbs.twimg.com/profile_banners/1493294940708696069/1666383613</v>
      </c>
      <c r="BJ191" s="76"/>
      <c r="BK191" s="76" t="s">
        <v>2092</v>
      </c>
      <c r="BL191" s="76" t="b">
        <v>0</v>
      </c>
      <c r="BM191" s="76"/>
      <c r="BN191" s="76" t="s">
        <v>65</v>
      </c>
      <c r="BO191" s="76" t="s">
        <v>2094</v>
      </c>
      <c r="BP191" s="82" t="str">
        <f>HYPERLINK("https://twitter.com/mgpforcongress")</f>
        <v>https://twitter.com/mgpforcongress</v>
      </c>
      <c r="BQ191" s="76" t="str">
        <f>REPLACE(INDEX(GroupVertices[Group],MATCH("~"&amp;Vertices[[#This Row],[Vertex]],GroupVertices[Vertex],0)),1,1,"")</f>
        <v>3</v>
      </c>
      <c r="BR191" s="45"/>
      <c r="BS191" s="46"/>
      <c r="BT191" s="45"/>
      <c r="BU191" s="46"/>
      <c r="BV191" s="45"/>
      <c r="BW191" s="46"/>
      <c r="BX191" s="45"/>
      <c r="BY191" s="46"/>
      <c r="BZ191" s="45"/>
      <c r="CA191" s="45"/>
      <c r="CB191" s="45"/>
      <c r="CC191" s="45"/>
      <c r="CD191" s="45"/>
      <c r="CE191" s="45"/>
      <c r="CF191" s="45"/>
      <c r="CG191" s="45"/>
      <c r="CH191" s="45"/>
      <c r="CI191" s="45"/>
      <c r="CJ191" s="45"/>
      <c r="CK191" s="2"/>
    </row>
    <row r="192" spans="1:89" ht="41.45" customHeight="1">
      <c r="A192" s="61" t="s">
        <v>321</v>
      </c>
      <c r="C192" s="62"/>
      <c r="D192" s="62" t="s">
        <v>64</v>
      </c>
      <c r="E192" s="63">
        <v>70</v>
      </c>
      <c r="F192" s="65"/>
      <c r="G192" s="101" t="str">
        <f>HYPERLINK("https://pbs.twimg.com/profile_images/1751125657168527360/cqKh7Wfy_normal.jpg")</f>
        <v>https://pbs.twimg.com/profile_images/1751125657168527360/cqKh7Wfy_normal.jpg</v>
      </c>
      <c r="H192" s="62"/>
      <c r="I192" s="66" t="s">
        <v>321</v>
      </c>
      <c r="J192" s="67"/>
      <c r="K192" s="67" t="s">
        <v>75</v>
      </c>
      <c r="L192" s="66" t="s">
        <v>2282</v>
      </c>
      <c r="M192" s="70">
        <v>1</v>
      </c>
      <c r="N192" s="71">
        <v>8211.9248046875</v>
      </c>
      <c r="O192" s="71">
        <v>9526.517578125</v>
      </c>
      <c r="P192" s="72"/>
      <c r="Q192" s="73"/>
      <c r="R192" s="73"/>
      <c r="S192" s="87"/>
      <c r="T192" s="45">
        <v>0</v>
      </c>
      <c r="U192" s="45">
        <v>1</v>
      </c>
      <c r="V192" s="46">
        <v>0</v>
      </c>
      <c r="W192" s="46">
        <v>0.00626</v>
      </c>
      <c r="X192" s="46">
        <v>0</v>
      </c>
      <c r="Y192" s="46">
        <v>0.004248</v>
      </c>
      <c r="Z192" s="46">
        <v>0</v>
      </c>
      <c r="AA192" s="46">
        <v>0</v>
      </c>
      <c r="AB192" s="68">
        <v>191</v>
      </c>
      <c r="AC192" s="68"/>
      <c r="AD192" s="69"/>
      <c r="AE192" s="76" t="s">
        <v>1514</v>
      </c>
      <c r="AF192" s="80" t="s">
        <v>1281</v>
      </c>
      <c r="AG192" s="76">
        <v>969</v>
      </c>
      <c r="AH192" s="76">
        <v>1873</v>
      </c>
      <c r="AI192" s="76">
        <v>4134</v>
      </c>
      <c r="AJ192" s="76">
        <v>0</v>
      </c>
      <c r="AK192" s="76">
        <v>14587</v>
      </c>
      <c r="AL192" s="76">
        <v>32</v>
      </c>
      <c r="AM192" s="76" t="b">
        <v>0</v>
      </c>
      <c r="AN192" s="78">
        <v>44182.28537037037</v>
      </c>
      <c r="AO192" s="76" t="s">
        <v>1737</v>
      </c>
      <c r="AP192" s="76" t="s">
        <v>1928</v>
      </c>
      <c r="AQ192" s="76"/>
      <c r="AR192" s="76"/>
      <c r="AS192" s="76"/>
      <c r="AT192" s="76"/>
      <c r="AU192" s="76"/>
      <c r="AV192" s="76"/>
      <c r="AW192" s="76">
        <v>1.44053484871677E+18</v>
      </c>
      <c r="AX192" s="76"/>
      <c r="AY192" s="76" t="b">
        <v>0</v>
      </c>
      <c r="AZ192" s="76"/>
      <c r="BA192" s="76"/>
      <c r="BB192" s="76" t="b">
        <v>0</v>
      </c>
      <c r="BC192" s="76" t="b">
        <v>0</v>
      </c>
      <c r="BD192" s="76" t="b">
        <v>1</v>
      </c>
      <c r="BE192" s="76" t="b">
        <v>0</v>
      </c>
      <c r="BF192" s="76" t="b">
        <v>1</v>
      </c>
      <c r="BG192" s="76" t="b">
        <v>0</v>
      </c>
      <c r="BH192" s="76" t="b">
        <v>0</v>
      </c>
      <c r="BI192" s="82" t="str">
        <f>HYPERLINK("https://pbs.twimg.com/profile_banners/1339462735352844288/1610905759")</f>
        <v>https://pbs.twimg.com/profile_banners/1339462735352844288/1610905759</v>
      </c>
      <c r="BJ192" s="76"/>
      <c r="BK192" s="76" t="s">
        <v>2092</v>
      </c>
      <c r="BL192" s="76" t="b">
        <v>0</v>
      </c>
      <c r="BM192" s="76"/>
      <c r="BN192" s="76" t="s">
        <v>66</v>
      </c>
      <c r="BO192" s="76" t="s">
        <v>2094</v>
      </c>
      <c r="BP192" s="82" t="str">
        <f>HYPERLINK("https://twitter.com/henspangled2020")</f>
        <v>https://twitter.com/henspangled2020</v>
      </c>
      <c r="BQ192" s="76" t="str">
        <f>REPLACE(INDEX(GroupVertices[Group],MATCH("~"&amp;Vertices[[#This Row],[Vertex]],GroupVertices[Vertex],0)),1,1,"")</f>
        <v>11</v>
      </c>
      <c r="BR192" s="45">
        <v>1</v>
      </c>
      <c r="BS192" s="46">
        <v>3.3333333333333335</v>
      </c>
      <c r="BT192" s="45">
        <v>2</v>
      </c>
      <c r="BU192" s="46">
        <v>6.666666666666667</v>
      </c>
      <c r="BV192" s="45">
        <v>0</v>
      </c>
      <c r="BW192" s="46">
        <v>0</v>
      </c>
      <c r="BX192" s="45">
        <v>9</v>
      </c>
      <c r="BY192" s="46">
        <v>30</v>
      </c>
      <c r="BZ192" s="45">
        <v>30</v>
      </c>
      <c r="CA192" s="45"/>
      <c r="CB192" s="45"/>
      <c r="CC192" s="45"/>
      <c r="CD192" s="45"/>
      <c r="CE192" s="45"/>
      <c r="CF192" s="45"/>
      <c r="CG192" s="114" t="s">
        <v>11380</v>
      </c>
      <c r="CH192" s="114" t="s">
        <v>11380</v>
      </c>
      <c r="CI192" s="114" t="s">
        <v>11509</v>
      </c>
      <c r="CJ192" s="114" t="s">
        <v>11509</v>
      </c>
      <c r="CK192" s="2"/>
    </row>
    <row r="193" spans="1:89" ht="41.45" customHeight="1">
      <c r="A193" s="61" t="s">
        <v>322</v>
      </c>
      <c r="C193" s="62"/>
      <c r="D193" s="62" t="s">
        <v>64</v>
      </c>
      <c r="E193" s="63">
        <v>70</v>
      </c>
      <c r="F193" s="65"/>
      <c r="G193" s="101" t="str">
        <f>HYPERLINK("https://pbs.twimg.com/profile_images/1716230117804883968/g0xHK0jg_normal.jpg")</f>
        <v>https://pbs.twimg.com/profile_images/1716230117804883968/g0xHK0jg_normal.jpg</v>
      </c>
      <c r="H193" s="62"/>
      <c r="I193" s="66" t="s">
        <v>322</v>
      </c>
      <c r="J193" s="67"/>
      <c r="K193" s="67" t="s">
        <v>75</v>
      </c>
      <c r="L193" s="66" t="s">
        <v>2283</v>
      </c>
      <c r="M193" s="70">
        <v>4000.2</v>
      </c>
      <c r="N193" s="71">
        <v>6993.3720703125</v>
      </c>
      <c r="O193" s="71">
        <v>1750.0770263671875</v>
      </c>
      <c r="P193" s="72"/>
      <c r="Q193" s="73"/>
      <c r="R193" s="73"/>
      <c r="S193" s="87"/>
      <c r="T193" s="45">
        <v>2</v>
      </c>
      <c r="U193" s="45">
        <v>1</v>
      </c>
      <c r="V193" s="46">
        <v>0</v>
      </c>
      <c r="W193" s="46">
        <v>0.004695</v>
      </c>
      <c r="X193" s="46">
        <v>0</v>
      </c>
      <c r="Y193" s="46">
        <v>0.004999</v>
      </c>
      <c r="Z193" s="46">
        <v>0</v>
      </c>
      <c r="AA193" s="46">
        <v>0</v>
      </c>
      <c r="AB193" s="68">
        <v>192</v>
      </c>
      <c r="AC193" s="68"/>
      <c r="AD193" s="69"/>
      <c r="AE193" s="76" t="s">
        <v>1515</v>
      </c>
      <c r="AF193" s="80" t="s">
        <v>1631</v>
      </c>
      <c r="AG193" s="76">
        <v>40079</v>
      </c>
      <c r="AH193" s="76">
        <v>1165</v>
      </c>
      <c r="AI193" s="76">
        <v>72447</v>
      </c>
      <c r="AJ193" s="76">
        <v>209</v>
      </c>
      <c r="AK193" s="76">
        <v>218946</v>
      </c>
      <c r="AL193" s="76">
        <v>5257</v>
      </c>
      <c r="AM193" s="76" t="b">
        <v>0</v>
      </c>
      <c r="AN193" s="78">
        <v>42131.4871412037</v>
      </c>
      <c r="AO193" s="76" t="s">
        <v>1738</v>
      </c>
      <c r="AP193" s="76" t="s">
        <v>1929</v>
      </c>
      <c r="AQ193" s="82" t="str">
        <f>HYPERLINK("https://t.co/iWOIfn3nyk")</f>
        <v>https://t.co/iWOIfn3nyk</v>
      </c>
      <c r="AR193" s="82" t="str">
        <f>HYPERLINK("https://youtube.com/@JamesGetsPolitical?si=ygDWZ5w1Oy7pbBBR")</f>
        <v>https://youtube.com/@JamesGetsPolitical?si=ygDWZ5w1Oy7pbBBR</v>
      </c>
      <c r="AS193" s="76" t="s">
        <v>2043</v>
      </c>
      <c r="AT193" s="76"/>
      <c r="AU193" s="76"/>
      <c r="AV193" s="76"/>
      <c r="AW193" s="76">
        <v>1.5316613787795E+18</v>
      </c>
      <c r="AX193" s="82" t="str">
        <f>HYPERLINK("https://t.co/iWOIfn3nyk")</f>
        <v>https://t.co/iWOIfn3nyk</v>
      </c>
      <c r="AY193" s="76" t="b">
        <v>0</v>
      </c>
      <c r="AZ193" s="76"/>
      <c r="BA193" s="76"/>
      <c r="BB193" s="76" t="b">
        <v>1</v>
      </c>
      <c r="BC193" s="76" t="b">
        <v>0</v>
      </c>
      <c r="BD193" s="76" t="b">
        <v>1</v>
      </c>
      <c r="BE193" s="76" t="b">
        <v>0</v>
      </c>
      <c r="BF193" s="76" t="b">
        <v>1</v>
      </c>
      <c r="BG193" s="76" t="b">
        <v>0</v>
      </c>
      <c r="BH193" s="76" t="b">
        <v>0</v>
      </c>
      <c r="BI193" s="82" t="str">
        <f>HYPERLINK("https://pbs.twimg.com/profile_banners/3240330844/1691300098")</f>
        <v>https://pbs.twimg.com/profile_banners/3240330844/1691300098</v>
      </c>
      <c r="BJ193" s="76"/>
      <c r="BK193" s="76" t="s">
        <v>2092</v>
      </c>
      <c r="BL193" s="76" t="b">
        <v>0</v>
      </c>
      <c r="BM193" s="76"/>
      <c r="BN193" s="76" t="s">
        <v>66</v>
      </c>
      <c r="BO193" s="76" t="s">
        <v>2094</v>
      </c>
      <c r="BP193" s="82" t="str">
        <f>HYPERLINK("https://twitter.com/goodvibepolitik")</f>
        <v>https://twitter.com/goodvibepolitik</v>
      </c>
      <c r="BQ193" s="76" t="str">
        <f>REPLACE(INDEX(GroupVertices[Group],MATCH("~"&amp;Vertices[[#This Row],[Vertex]],GroupVertices[Vertex],0)),1,1,"")</f>
        <v>31</v>
      </c>
      <c r="BR193" s="45">
        <v>0</v>
      </c>
      <c r="BS193" s="46">
        <v>0</v>
      </c>
      <c r="BT193" s="45">
        <v>4</v>
      </c>
      <c r="BU193" s="46">
        <v>8.333333333333334</v>
      </c>
      <c r="BV193" s="45">
        <v>0</v>
      </c>
      <c r="BW193" s="46">
        <v>0</v>
      </c>
      <c r="BX193" s="45">
        <v>24</v>
      </c>
      <c r="BY193" s="46">
        <v>50</v>
      </c>
      <c r="BZ193" s="45">
        <v>48</v>
      </c>
      <c r="CA193" s="45"/>
      <c r="CB193" s="45"/>
      <c r="CC193" s="45"/>
      <c r="CD193" s="45"/>
      <c r="CE193" s="45"/>
      <c r="CF193" s="45"/>
      <c r="CG193" s="114" t="s">
        <v>11381</v>
      </c>
      <c r="CH193" s="114" t="s">
        <v>11381</v>
      </c>
      <c r="CI193" s="114" t="s">
        <v>11510</v>
      </c>
      <c r="CJ193" s="114" t="s">
        <v>11510</v>
      </c>
      <c r="CK193" s="2"/>
    </row>
    <row r="194" spans="1:89" ht="41.45" customHeight="1">
      <c r="A194" s="61" t="s">
        <v>323</v>
      </c>
      <c r="C194" s="62"/>
      <c r="D194" s="62" t="s">
        <v>64</v>
      </c>
      <c r="E194" s="63">
        <v>70</v>
      </c>
      <c r="F194" s="65"/>
      <c r="G194" s="101" t="str">
        <f>HYPERLINK("https://pbs.twimg.com/profile_images/1658947378169393152/HfXLBlTP_normal.jpg")</f>
        <v>https://pbs.twimg.com/profile_images/1658947378169393152/HfXLBlTP_normal.jpg</v>
      </c>
      <c r="H194" s="62"/>
      <c r="I194" s="66" t="s">
        <v>323</v>
      </c>
      <c r="J194" s="67"/>
      <c r="K194" s="67" t="s">
        <v>75</v>
      </c>
      <c r="L194" s="66" t="s">
        <v>2284</v>
      </c>
      <c r="M194" s="70">
        <v>1</v>
      </c>
      <c r="N194" s="71">
        <v>6993.3720703125</v>
      </c>
      <c r="O194" s="71">
        <v>2407.773193359375</v>
      </c>
      <c r="P194" s="72"/>
      <c r="Q194" s="73"/>
      <c r="R194" s="73"/>
      <c r="S194" s="87"/>
      <c r="T194" s="45">
        <v>0</v>
      </c>
      <c r="U194" s="45">
        <v>1</v>
      </c>
      <c r="V194" s="46">
        <v>0</v>
      </c>
      <c r="W194" s="46">
        <v>0.004695</v>
      </c>
      <c r="X194" s="46">
        <v>0</v>
      </c>
      <c r="Y194" s="46">
        <v>0.004347</v>
      </c>
      <c r="Z194" s="46">
        <v>0</v>
      </c>
      <c r="AA194" s="46">
        <v>0</v>
      </c>
      <c r="AB194" s="68">
        <v>193</v>
      </c>
      <c r="AC194" s="68"/>
      <c r="AD194" s="69"/>
      <c r="AE194" s="76" t="s">
        <v>1516</v>
      </c>
      <c r="AF194" s="80" t="s">
        <v>1282</v>
      </c>
      <c r="AG194" s="76">
        <v>3201</v>
      </c>
      <c r="AH194" s="76">
        <v>4793</v>
      </c>
      <c r="AI194" s="76">
        <v>124096</v>
      </c>
      <c r="AJ194" s="76">
        <v>5</v>
      </c>
      <c r="AK194" s="76">
        <v>66488</v>
      </c>
      <c r="AL194" s="76">
        <v>495</v>
      </c>
      <c r="AM194" s="76" t="b">
        <v>0</v>
      </c>
      <c r="AN194" s="78">
        <v>43337.05788194444</v>
      </c>
      <c r="AO194" s="76" t="s">
        <v>1739</v>
      </c>
      <c r="AP194" s="76" t="s">
        <v>1930</v>
      </c>
      <c r="AQ194" s="76"/>
      <c r="AR194" s="76"/>
      <c r="AS194" s="76"/>
      <c r="AT194" s="76"/>
      <c r="AU194" s="76"/>
      <c r="AV194" s="76"/>
      <c r="AW194" s="76"/>
      <c r="AX194" s="76"/>
      <c r="AY194" s="76" t="b">
        <v>0</v>
      </c>
      <c r="AZ194" s="76"/>
      <c r="BA194" s="76"/>
      <c r="BB194" s="76" t="b">
        <v>1</v>
      </c>
      <c r="BC194" s="76" t="b">
        <v>0</v>
      </c>
      <c r="BD194" s="76" t="b">
        <v>1</v>
      </c>
      <c r="BE194" s="76" t="b">
        <v>0</v>
      </c>
      <c r="BF194" s="76" t="b">
        <v>1</v>
      </c>
      <c r="BG194" s="76" t="b">
        <v>0</v>
      </c>
      <c r="BH194" s="76" t="b">
        <v>0</v>
      </c>
      <c r="BI194" s="82" t="str">
        <f>HYPERLINK("https://pbs.twimg.com/profile_banners/1033162882471477248/1588006315")</f>
        <v>https://pbs.twimg.com/profile_banners/1033162882471477248/1588006315</v>
      </c>
      <c r="BJ194" s="76"/>
      <c r="BK194" s="76" t="s">
        <v>2092</v>
      </c>
      <c r="BL194" s="76" t="b">
        <v>0</v>
      </c>
      <c r="BM194" s="76"/>
      <c r="BN194" s="76" t="s">
        <v>66</v>
      </c>
      <c r="BO194" s="76" t="s">
        <v>2094</v>
      </c>
      <c r="BP194" s="82" t="str">
        <f>HYPERLINK("https://twitter.com/susan35763565")</f>
        <v>https://twitter.com/susan35763565</v>
      </c>
      <c r="BQ194" s="76" t="str">
        <f>REPLACE(INDEX(GroupVertices[Group],MATCH("~"&amp;Vertices[[#This Row],[Vertex]],GroupVertices[Vertex],0)),1,1,"")</f>
        <v>31</v>
      </c>
      <c r="BR194" s="45">
        <v>0</v>
      </c>
      <c r="BS194" s="46">
        <v>0</v>
      </c>
      <c r="BT194" s="45">
        <v>5</v>
      </c>
      <c r="BU194" s="46">
        <v>19.23076923076923</v>
      </c>
      <c r="BV194" s="45">
        <v>0</v>
      </c>
      <c r="BW194" s="46">
        <v>0</v>
      </c>
      <c r="BX194" s="45">
        <v>8</v>
      </c>
      <c r="BY194" s="46">
        <v>30.76923076923077</v>
      </c>
      <c r="BZ194" s="45">
        <v>26</v>
      </c>
      <c r="CA194" s="45"/>
      <c r="CB194" s="45"/>
      <c r="CC194" s="45"/>
      <c r="CD194" s="45"/>
      <c r="CE194" s="45"/>
      <c r="CF194" s="45"/>
      <c r="CG194" s="114" t="s">
        <v>11382</v>
      </c>
      <c r="CH194" s="114" t="s">
        <v>11382</v>
      </c>
      <c r="CI194" s="114" t="s">
        <v>11511</v>
      </c>
      <c r="CJ194" s="114" t="s">
        <v>11511</v>
      </c>
      <c r="CK194" s="2"/>
    </row>
    <row r="195" spans="1:89" ht="41.45" customHeight="1">
      <c r="A195" s="61" t="s">
        <v>324</v>
      </c>
      <c r="C195" s="62"/>
      <c r="D195" s="62" t="s">
        <v>64</v>
      </c>
      <c r="E195" s="63">
        <v>70</v>
      </c>
      <c r="F195" s="65"/>
      <c r="G195" s="101" t="str">
        <f>HYPERLINK("https://pbs.twimg.com/profile_images/1746917310584303616/xswFVmds_normal.jpg")</f>
        <v>https://pbs.twimg.com/profile_images/1746917310584303616/xswFVmds_normal.jpg</v>
      </c>
      <c r="H195" s="62"/>
      <c r="I195" s="66" t="s">
        <v>324</v>
      </c>
      <c r="J195" s="67"/>
      <c r="K195" s="67" t="s">
        <v>75</v>
      </c>
      <c r="L195" s="66" t="s">
        <v>2285</v>
      </c>
      <c r="M195" s="70">
        <v>1</v>
      </c>
      <c r="N195" s="71">
        <v>6993.3720703125</v>
      </c>
      <c r="O195" s="71">
        <v>5144.39453125</v>
      </c>
      <c r="P195" s="72"/>
      <c r="Q195" s="73"/>
      <c r="R195" s="73"/>
      <c r="S195" s="87"/>
      <c r="T195" s="45">
        <v>0</v>
      </c>
      <c r="U195" s="45">
        <v>1</v>
      </c>
      <c r="V195" s="46">
        <v>0</v>
      </c>
      <c r="W195" s="46">
        <v>0.004695</v>
      </c>
      <c r="X195" s="46">
        <v>0</v>
      </c>
      <c r="Y195" s="46">
        <v>0.004673</v>
      </c>
      <c r="Z195" s="46">
        <v>0</v>
      </c>
      <c r="AA195" s="46">
        <v>0</v>
      </c>
      <c r="AB195" s="68">
        <v>194</v>
      </c>
      <c r="AC195" s="68"/>
      <c r="AD195" s="69"/>
      <c r="AE195" s="76" t="s">
        <v>1517</v>
      </c>
      <c r="AF195" s="80" t="s">
        <v>1632</v>
      </c>
      <c r="AG195" s="76">
        <v>35243</v>
      </c>
      <c r="AH195" s="76">
        <v>30930</v>
      </c>
      <c r="AI195" s="76">
        <v>84630</v>
      </c>
      <c r="AJ195" s="76">
        <v>2</v>
      </c>
      <c r="AK195" s="76">
        <v>80615</v>
      </c>
      <c r="AL195" s="76">
        <v>3109</v>
      </c>
      <c r="AM195" s="76" t="b">
        <v>0</v>
      </c>
      <c r="AN195" s="78">
        <v>40393.54738425926</v>
      </c>
      <c r="AO195" s="76" t="s">
        <v>1711</v>
      </c>
      <c r="AP195" s="76" t="s">
        <v>1931</v>
      </c>
      <c r="AQ195" s="76"/>
      <c r="AR195" s="76"/>
      <c r="AS195" s="76"/>
      <c r="AT195" s="76"/>
      <c r="AU195" s="76"/>
      <c r="AV195" s="76"/>
      <c r="AW195" s="76">
        <v>1.28030657509827E+18</v>
      </c>
      <c r="AX195" s="76"/>
      <c r="AY195" s="76" t="b">
        <v>0</v>
      </c>
      <c r="AZ195" s="76"/>
      <c r="BA195" s="76"/>
      <c r="BB195" s="76" t="b">
        <v>0</v>
      </c>
      <c r="BC195" s="76" t="b">
        <v>0</v>
      </c>
      <c r="BD195" s="76" t="b">
        <v>1</v>
      </c>
      <c r="BE195" s="76" t="b">
        <v>0</v>
      </c>
      <c r="BF195" s="76" t="b">
        <v>1</v>
      </c>
      <c r="BG195" s="76" t="b">
        <v>0</v>
      </c>
      <c r="BH195" s="76" t="b">
        <v>0</v>
      </c>
      <c r="BI195" s="82" t="str">
        <f>HYPERLINK("https://pbs.twimg.com/profile_banners/174242226/1688672904")</f>
        <v>https://pbs.twimg.com/profile_banners/174242226/1688672904</v>
      </c>
      <c r="BJ195" s="76"/>
      <c r="BK195" s="76" t="s">
        <v>2092</v>
      </c>
      <c r="BL195" s="76" t="b">
        <v>0</v>
      </c>
      <c r="BM195" s="76"/>
      <c r="BN195" s="76" t="s">
        <v>66</v>
      </c>
      <c r="BO195" s="76" t="s">
        <v>2094</v>
      </c>
      <c r="BP195" s="82" t="str">
        <f>HYPERLINK("https://twitter.com/lindas_here")</f>
        <v>https://twitter.com/lindas_here</v>
      </c>
      <c r="BQ195" s="76" t="str">
        <f>REPLACE(INDEX(GroupVertices[Group],MATCH("~"&amp;Vertices[[#This Row],[Vertex]],GroupVertices[Vertex],0)),1,1,"")</f>
        <v>30</v>
      </c>
      <c r="BR195" s="45">
        <v>0</v>
      </c>
      <c r="BS195" s="46">
        <v>0</v>
      </c>
      <c r="BT195" s="45">
        <v>6</v>
      </c>
      <c r="BU195" s="46">
        <v>11.11111111111111</v>
      </c>
      <c r="BV195" s="45">
        <v>0</v>
      </c>
      <c r="BW195" s="46">
        <v>0</v>
      </c>
      <c r="BX195" s="45">
        <v>17</v>
      </c>
      <c r="BY195" s="46">
        <v>31.48148148148148</v>
      </c>
      <c r="BZ195" s="45">
        <v>54</v>
      </c>
      <c r="CA195" s="45"/>
      <c r="CB195" s="45"/>
      <c r="CC195" s="45"/>
      <c r="CD195" s="45"/>
      <c r="CE195" s="45"/>
      <c r="CF195" s="45"/>
      <c r="CG195" s="114" t="s">
        <v>11383</v>
      </c>
      <c r="CH195" s="114" t="s">
        <v>11383</v>
      </c>
      <c r="CI195" s="114" t="s">
        <v>11512</v>
      </c>
      <c r="CJ195" s="114" t="s">
        <v>11512</v>
      </c>
      <c r="CK195" s="2"/>
    </row>
    <row r="196" spans="1:89" ht="41.45" customHeight="1">
      <c r="A196" s="61" t="s">
        <v>427</v>
      </c>
      <c r="C196" s="62"/>
      <c r="D196" s="62" t="s">
        <v>64</v>
      </c>
      <c r="E196" s="63">
        <v>70</v>
      </c>
      <c r="F196" s="65"/>
      <c r="G196" s="101" t="str">
        <f>HYPERLINK("https://pbs.twimg.com/profile_images/1734110083217555456/yUbOwhpK_normal.jpg")</f>
        <v>https://pbs.twimg.com/profile_images/1734110083217555456/yUbOwhpK_normal.jpg</v>
      </c>
      <c r="H196" s="62"/>
      <c r="I196" s="66" t="s">
        <v>427</v>
      </c>
      <c r="J196" s="67"/>
      <c r="K196" s="67" t="s">
        <v>75</v>
      </c>
      <c r="L196" s="66" t="s">
        <v>2286</v>
      </c>
      <c r="M196" s="70">
        <v>2000.6</v>
      </c>
      <c r="N196" s="71">
        <v>6993.3720703125</v>
      </c>
      <c r="O196" s="71">
        <v>4486.69873046875</v>
      </c>
      <c r="P196" s="72"/>
      <c r="Q196" s="73"/>
      <c r="R196" s="73"/>
      <c r="S196" s="87"/>
      <c r="T196" s="45">
        <v>1</v>
      </c>
      <c r="U196" s="45">
        <v>0</v>
      </c>
      <c r="V196" s="46">
        <v>0</v>
      </c>
      <c r="W196" s="46">
        <v>0.004695</v>
      </c>
      <c r="X196" s="46">
        <v>0</v>
      </c>
      <c r="Y196" s="46">
        <v>0.004673</v>
      </c>
      <c r="Z196" s="46">
        <v>0</v>
      </c>
      <c r="AA196" s="46">
        <v>0</v>
      </c>
      <c r="AB196" s="68">
        <v>195</v>
      </c>
      <c r="AC196" s="68"/>
      <c r="AD196" s="69"/>
      <c r="AE196" s="76" t="s">
        <v>1518</v>
      </c>
      <c r="AF196" s="80" t="s">
        <v>1201</v>
      </c>
      <c r="AG196" s="76">
        <v>22303</v>
      </c>
      <c r="AH196" s="76">
        <v>21343</v>
      </c>
      <c r="AI196" s="76">
        <v>36869</v>
      </c>
      <c r="AJ196" s="76">
        <v>9</v>
      </c>
      <c r="AK196" s="76">
        <v>82532</v>
      </c>
      <c r="AL196" s="76">
        <v>8152</v>
      </c>
      <c r="AM196" s="76" t="b">
        <v>0</v>
      </c>
      <c r="AN196" s="78">
        <v>42992.235300925924</v>
      </c>
      <c r="AO196" s="76" t="s">
        <v>1740</v>
      </c>
      <c r="AP196" s="76" t="s">
        <v>1932</v>
      </c>
      <c r="AQ196" s="82" t="str">
        <f>HYPERLINK("https://t.co/xhKXq3mJEc")</f>
        <v>https://t.co/xhKXq3mJEc</v>
      </c>
      <c r="AR196" s="82" t="str">
        <f>HYPERLINK("https://twitter.com/i/communities/1603892846314295296")</f>
        <v>https://twitter.com/i/communities/1603892846314295296</v>
      </c>
      <c r="AS196" s="76" t="s">
        <v>2044</v>
      </c>
      <c r="AT196" s="76"/>
      <c r="AU196" s="76"/>
      <c r="AV196" s="76"/>
      <c r="AW196" s="76">
        <v>1.71848084957712E+18</v>
      </c>
      <c r="AX196" s="82" t="str">
        <f>HYPERLINK("https://t.co/xhKXq3mJEc")</f>
        <v>https://t.co/xhKXq3mJEc</v>
      </c>
      <c r="AY196" s="76" t="b">
        <v>1</v>
      </c>
      <c r="AZ196" s="76"/>
      <c r="BA196" s="76"/>
      <c r="BB196" s="76" t="b">
        <v>0</v>
      </c>
      <c r="BC196" s="76" t="b">
        <v>0</v>
      </c>
      <c r="BD196" s="76" t="b">
        <v>1</v>
      </c>
      <c r="BE196" s="76" t="b">
        <v>0</v>
      </c>
      <c r="BF196" s="76" t="b">
        <v>1</v>
      </c>
      <c r="BG196" s="76" t="b">
        <v>0</v>
      </c>
      <c r="BH196" s="76" t="b">
        <v>0</v>
      </c>
      <c r="BI196" s="82" t="str">
        <f>HYPERLINK("https://pbs.twimg.com/profile_banners/908203366408433664/1702279254")</f>
        <v>https://pbs.twimg.com/profile_banners/908203366408433664/1702279254</v>
      </c>
      <c r="BJ196" s="76"/>
      <c r="BK196" s="76" t="s">
        <v>2092</v>
      </c>
      <c r="BL196" s="76" t="b">
        <v>0</v>
      </c>
      <c r="BM196" s="76"/>
      <c r="BN196" s="76" t="s">
        <v>65</v>
      </c>
      <c r="BO196" s="76" t="s">
        <v>2094</v>
      </c>
      <c r="BP196" s="82" t="str">
        <f>HYPERLINK("https://twitter.com/a_tothe_z_amber")</f>
        <v>https://twitter.com/a_tothe_z_amber</v>
      </c>
      <c r="BQ196" s="76" t="str">
        <f>REPLACE(INDEX(GroupVertices[Group],MATCH("~"&amp;Vertices[[#This Row],[Vertex]],GroupVertices[Vertex],0)),1,1,"")</f>
        <v>30</v>
      </c>
      <c r="BR196" s="45"/>
      <c r="BS196" s="46"/>
      <c r="BT196" s="45"/>
      <c r="BU196" s="46"/>
      <c r="BV196" s="45"/>
      <c r="BW196" s="46"/>
      <c r="BX196" s="45"/>
      <c r="BY196" s="46"/>
      <c r="BZ196" s="45"/>
      <c r="CA196" s="45"/>
      <c r="CB196" s="45"/>
      <c r="CC196" s="45"/>
      <c r="CD196" s="45"/>
      <c r="CE196" s="45"/>
      <c r="CF196" s="45"/>
      <c r="CG196" s="45"/>
      <c r="CH196" s="45"/>
      <c r="CI196" s="45"/>
      <c r="CJ196" s="45"/>
      <c r="CK196" s="2"/>
    </row>
    <row r="197" spans="1:89" ht="41.45" customHeight="1">
      <c r="A197" s="61" t="s">
        <v>325</v>
      </c>
      <c r="C197" s="62"/>
      <c r="D197" s="62" t="s">
        <v>64</v>
      </c>
      <c r="E197" s="63">
        <v>70</v>
      </c>
      <c r="F197" s="65"/>
      <c r="G197" s="101" t="str">
        <f>HYPERLINK("https://pbs.twimg.com/profile_images/1706596490054152192/jHFB9TjD_normal.jpg")</f>
        <v>https://pbs.twimg.com/profile_images/1706596490054152192/jHFB9TjD_normal.jpg</v>
      </c>
      <c r="H197" s="62"/>
      <c r="I197" s="66" t="s">
        <v>325</v>
      </c>
      <c r="J197" s="67"/>
      <c r="K197" s="67" t="s">
        <v>75</v>
      </c>
      <c r="L197" s="66" t="s">
        <v>2287</v>
      </c>
      <c r="M197" s="70">
        <v>1</v>
      </c>
      <c r="N197" s="71">
        <v>6993.3720703125</v>
      </c>
      <c r="O197" s="71">
        <v>3777.343994140625</v>
      </c>
      <c r="P197" s="72"/>
      <c r="Q197" s="73"/>
      <c r="R197" s="73"/>
      <c r="S197" s="87"/>
      <c r="T197" s="45">
        <v>0</v>
      </c>
      <c r="U197" s="45">
        <v>1</v>
      </c>
      <c r="V197" s="46">
        <v>0</v>
      </c>
      <c r="W197" s="46">
        <v>0.004695</v>
      </c>
      <c r="X197" s="46">
        <v>0</v>
      </c>
      <c r="Y197" s="46">
        <v>0.004673</v>
      </c>
      <c r="Z197" s="46">
        <v>0</v>
      </c>
      <c r="AA197" s="46">
        <v>0</v>
      </c>
      <c r="AB197" s="68">
        <v>196</v>
      </c>
      <c r="AC197" s="68"/>
      <c r="AD197" s="69"/>
      <c r="AE197" s="76" t="s">
        <v>1519</v>
      </c>
      <c r="AF197" s="80" t="s">
        <v>1283</v>
      </c>
      <c r="AG197" s="76">
        <v>3663</v>
      </c>
      <c r="AH197" s="76">
        <v>45</v>
      </c>
      <c r="AI197" s="76">
        <v>4316</v>
      </c>
      <c r="AJ197" s="76">
        <v>28</v>
      </c>
      <c r="AK197" s="76">
        <v>11313</v>
      </c>
      <c r="AL197" s="76">
        <v>804</v>
      </c>
      <c r="AM197" s="76" t="b">
        <v>0</v>
      </c>
      <c r="AN197" s="78">
        <v>44689.431284722225</v>
      </c>
      <c r="AO197" s="76" t="s">
        <v>1677</v>
      </c>
      <c r="AP197" s="76"/>
      <c r="AQ197" s="82" t="str">
        <f>HYPERLINK("https://t.co/JJGc9lGQEI")</f>
        <v>https://t.co/JJGc9lGQEI</v>
      </c>
      <c r="AR197" s="82" t="str">
        <f>HYPERLINK("https://kick.com/brandonfarley")</f>
        <v>https://kick.com/brandonfarley</v>
      </c>
      <c r="AS197" s="76" t="s">
        <v>2045</v>
      </c>
      <c r="AT197" s="76"/>
      <c r="AU197" s="76"/>
      <c r="AV197" s="76"/>
      <c r="AW197" s="76">
        <v>1.74986368500123E+18</v>
      </c>
      <c r="AX197" s="82" t="str">
        <f>HYPERLINK("https://t.co/JJGc9lGQEI")</f>
        <v>https://t.co/JJGc9lGQEI</v>
      </c>
      <c r="AY197" s="76" t="b">
        <v>0</v>
      </c>
      <c r="AZ197" s="76"/>
      <c r="BA197" s="76"/>
      <c r="BB197" s="76" t="b">
        <v>1</v>
      </c>
      <c r="BC197" s="76" t="b">
        <v>1</v>
      </c>
      <c r="BD197" s="76" t="b">
        <v>1</v>
      </c>
      <c r="BE197" s="76" t="b">
        <v>0</v>
      </c>
      <c r="BF197" s="76" t="b">
        <v>0</v>
      </c>
      <c r="BG197" s="76" t="b">
        <v>0</v>
      </c>
      <c r="BH197" s="76" t="b">
        <v>0</v>
      </c>
      <c r="BI197" s="82" t="str">
        <f>HYPERLINK("https://pbs.twimg.com/profile_banners/1523246504374267904/1697759004")</f>
        <v>https://pbs.twimg.com/profile_banners/1523246504374267904/1697759004</v>
      </c>
      <c r="BJ197" s="76"/>
      <c r="BK197" s="76" t="s">
        <v>2092</v>
      </c>
      <c r="BL197" s="76" t="b">
        <v>0</v>
      </c>
      <c r="BM197" s="76"/>
      <c r="BN197" s="76" t="s">
        <v>66</v>
      </c>
      <c r="BO197" s="76" t="s">
        <v>2094</v>
      </c>
      <c r="BP197" s="82" t="str">
        <f>HYPERLINK("https://twitter.com/therealfarley")</f>
        <v>https://twitter.com/therealfarley</v>
      </c>
      <c r="BQ197" s="76" t="str">
        <f>REPLACE(INDEX(GroupVertices[Group],MATCH("~"&amp;Vertices[[#This Row],[Vertex]],GroupVertices[Vertex],0)),1,1,"")</f>
        <v>29</v>
      </c>
      <c r="BR197" s="45">
        <v>2</v>
      </c>
      <c r="BS197" s="46">
        <v>3.5714285714285716</v>
      </c>
      <c r="BT197" s="45">
        <v>1</v>
      </c>
      <c r="BU197" s="46">
        <v>1.7857142857142858</v>
      </c>
      <c r="BV197" s="45">
        <v>0</v>
      </c>
      <c r="BW197" s="46">
        <v>0</v>
      </c>
      <c r="BX197" s="45">
        <v>23</v>
      </c>
      <c r="BY197" s="46">
        <v>41.07142857142857</v>
      </c>
      <c r="BZ197" s="45">
        <v>56</v>
      </c>
      <c r="CA197" s="45"/>
      <c r="CB197" s="45"/>
      <c r="CC197" s="45"/>
      <c r="CD197" s="45"/>
      <c r="CE197" s="45"/>
      <c r="CF197" s="45"/>
      <c r="CG197" s="114" t="s">
        <v>11384</v>
      </c>
      <c r="CH197" s="114" t="s">
        <v>11384</v>
      </c>
      <c r="CI197" s="114" t="s">
        <v>11513</v>
      </c>
      <c r="CJ197" s="114" t="s">
        <v>11513</v>
      </c>
      <c r="CK197" s="2"/>
    </row>
    <row r="198" spans="1:89" ht="41.45" customHeight="1">
      <c r="A198" s="61" t="s">
        <v>428</v>
      </c>
      <c r="C198" s="62"/>
      <c r="D198" s="62" t="s">
        <v>64</v>
      </c>
      <c r="E198" s="63">
        <v>70</v>
      </c>
      <c r="F198" s="65"/>
      <c r="G198" s="101" t="str">
        <f>HYPERLINK("https://pbs.twimg.com/profile_images/1544762839918845952/WWNXFTjA_normal.jpg")</f>
        <v>https://pbs.twimg.com/profile_images/1544762839918845952/WWNXFTjA_normal.jpg</v>
      </c>
      <c r="H198" s="62"/>
      <c r="I198" s="66" t="s">
        <v>428</v>
      </c>
      <c r="J198" s="67"/>
      <c r="K198" s="67" t="s">
        <v>75</v>
      </c>
      <c r="L198" s="66" t="s">
        <v>2288</v>
      </c>
      <c r="M198" s="70">
        <v>2000.6</v>
      </c>
      <c r="N198" s="71">
        <v>6993.3720703125</v>
      </c>
      <c r="O198" s="71">
        <v>3117.127685546875</v>
      </c>
      <c r="P198" s="72"/>
      <c r="Q198" s="73"/>
      <c r="R198" s="73"/>
      <c r="S198" s="87"/>
      <c r="T198" s="45">
        <v>1</v>
      </c>
      <c r="U198" s="45">
        <v>0</v>
      </c>
      <c r="V198" s="46">
        <v>0</v>
      </c>
      <c r="W198" s="46">
        <v>0.004695</v>
      </c>
      <c r="X198" s="46">
        <v>0</v>
      </c>
      <c r="Y198" s="46">
        <v>0.004673</v>
      </c>
      <c r="Z198" s="46">
        <v>0</v>
      </c>
      <c r="AA198" s="46">
        <v>0</v>
      </c>
      <c r="AB198" s="68">
        <v>197</v>
      </c>
      <c r="AC198" s="68"/>
      <c r="AD198" s="69"/>
      <c r="AE198" s="76" t="s">
        <v>1520</v>
      </c>
      <c r="AF198" s="80" t="s">
        <v>1202</v>
      </c>
      <c r="AG198" s="76">
        <v>76904</v>
      </c>
      <c r="AH198" s="76">
        <v>3388</v>
      </c>
      <c r="AI198" s="76">
        <v>6905</v>
      </c>
      <c r="AJ198" s="76">
        <v>27</v>
      </c>
      <c r="AK198" s="76">
        <v>19933</v>
      </c>
      <c r="AL198" s="76">
        <v>911</v>
      </c>
      <c r="AM198" s="76" t="b">
        <v>0</v>
      </c>
      <c r="AN198" s="78">
        <v>44661.6869212963</v>
      </c>
      <c r="AO198" s="76" t="s">
        <v>1741</v>
      </c>
      <c r="AP198" s="76" t="s">
        <v>1933</v>
      </c>
      <c r="AQ198" s="82" t="str">
        <f>HYPERLINK("https://t.co/5m9KDKonxG")</f>
        <v>https://t.co/5m9KDKonxG</v>
      </c>
      <c r="AR198" s="82" t="str">
        <f>HYPERLINK("http://kick.com/ac7ionman")</f>
        <v>http://kick.com/ac7ionman</v>
      </c>
      <c r="AS198" s="76" t="s">
        <v>2046</v>
      </c>
      <c r="AT198" s="76" t="s">
        <v>2061</v>
      </c>
      <c r="AU198" s="76" t="s">
        <v>2065</v>
      </c>
      <c r="AV198" s="76" t="s">
        <v>2087</v>
      </c>
      <c r="AW198" s="76">
        <v>1.74850002848472E+18</v>
      </c>
      <c r="AX198" s="82" t="str">
        <f>HYPERLINK("https://t.co/5m9KDKonxG")</f>
        <v>https://t.co/5m9KDKonxG</v>
      </c>
      <c r="AY198" s="76" t="b">
        <v>1</v>
      </c>
      <c r="AZ198" s="76"/>
      <c r="BA198" s="76"/>
      <c r="BB198" s="76" t="b">
        <v>1</v>
      </c>
      <c r="BC198" s="76" t="b">
        <v>1</v>
      </c>
      <c r="BD198" s="76" t="b">
        <v>1</v>
      </c>
      <c r="BE198" s="76" t="b">
        <v>0</v>
      </c>
      <c r="BF198" s="76" t="b">
        <v>1</v>
      </c>
      <c r="BG198" s="76" t="b">
        <v>0</v>
      </c>
      <c r="BH198" s="76" t="b">
        <v>0</v>
      </c>
      <c r="BI198" s="82" t="str">
        <f>HYPERLINK("https://pbs.twimg.com/profile_banners/1513192336926425100/1657135531")</f>
        <v>https://pbs.twimg.com/profile_banners/1513192336926425100/1657135531</v>
      </c>
      <c r="BJ198" s="76"/>
      <c r="BK198" s="76" t="s">
        <v>2092</v>
      </c>
      <c r="BL198" s="76" t="b">
        <v>0</v>
      </c>
      <c r="BM198" s="76"/>
      <c r="BN198" s="76" t="s">
        <v>65</v>
      </c>
      <c r="BO198" s="76" t="s">
        <v>2094</v>
      </c>
      <c r="BP198" s="82" t="str">
        <f>HYPERLINK("https://twitter.com/ac7ionmann")</f>
        <v>https://twitter.com/ac7ionmann</v>
      </c>
      <c r="BQ198" s="76" t="str">
        <f>REPLACE(INDEX(GroupVertices[Group],MATCH("~"&amp;Vertices[[#This Row],[Vertex]],GroupVertices[Vertex],0)),1,1,"")</f>
        <v>29</v>
      </c>
      <c r="BR198" s="45"/>
      <c r="BS198" s="46"/>
      <c r="BT198" s="45"/>
      <c r="BU198" s="46"/>
      <c r="BV198" s="45"/>
      <c r="BW198" s="46"/>
      <c r="BX198" s="45"/>
      <c r="BY198" s="46"/>
      <c r="BZ198" s="45"/>
      <c r="CA198" s="45"/>
      <c r="CB198" s="45"/>
      <c r="CC198" s="45"/>
      <c r="CD198" s="45"/>
      <c r="CE198" s="45"/>
      <c r="CF198" s="45"/>
      <c r="CG198" s="45"/>
      <c r="CH198" s="45"/>
      <c r="CI198" s="45"/>
      <c r="CJ198" s="45"/>
      <c r="CK198" s="2"/>
    </row>
    <row r="199" spans="1:89" ht="41.45" customHeight="1">
      <c r="A199" s="61" t="s">
        <v>326</v>
      </c>
      <c r="C199" s="62"/>
      <c r="D199" s="62" t="s">
        <v>64</v>
      </c>
      <c r="E199" s="63">
        <v>70</v>
      </c>
      <c r="F199" s="65"/>
      <c r="G199" s="101" t="str">
        <f>HYPERLINK("https://pbs.twimg.com/profile_images/378800000261184161/9987150c21b663287165ee5df38f0e0c_normal.png")</f>
        <v>https://pbs.twimg.com/profile_images/378800000261184161/9987150c21b663287165ee5df38f0e0c_normal.png</v>
      </c>
      <c r="H199" s="62"/>
      <c r="I199" s="66" t="s">
        <v>326</v>
      </c>
      <c r="J199" s="67"/>
      <c r="K199" s="67" t="s">
        <v>75</v>
      </c>
      <c r="L199" s="66" t="s">
        <v>2289</v>
      </c>
      <c r="M199" s="70">
        <v>2000.6</v>
      </c>
      <c r="N199" s="71">
        <v>1134.3516845703125</v>
      </c>
      <c r="O199" s="71">
        <v>6773.51611328125</v>
      </c>
      <c r="P199" s="72"/>
      <c r="Q199" s="73"/>
      <c r="R199" s="73"/>
      <c r="S199" s="87"/>
      <c r="T199" s="45">
        <v>1</v>
      </c>
      <c r="U199" s="45">
        <v>1</v>
      </c>
      <c r="V199" s="46">
        <v>0</v>
      </c>
      <c r="W199" s="46">
        <v>0</v>
      </c>
      <c r="X199" s="46">
        <v>0</v>
      </c>
      <c r="Y199" s="46">
        <v>0.004673</v>
      </c>
      <c r="Z199" s="46">
        <v>0</v>
      </c>
      <c r="AA199" s="46">
        <v>0</v>
      </c>
      <c r="AB199" s="68">
        <v>198</v>
      </c>
      <c r="AC199" s="68"/>
      <c r="AD199" s="69"/>
      <c r="AE199" s="76" t="s">
        <v>1521</v>
      </c>
      <c r="AF199" s="80" t="s">
        <v>1633</v>
      </c>
      <c r="AG199" s="76">
        <v>42372</v>
      </c>
      <c r="AH199" s="76">
        <v>3690</v>
      </c>
      <c r="AI199" s="76">
        <v>56987</v>
      </c>
      <c r="AJ199" s="76">
        <v>1052</v>
      </c>
      <c r="AK199" s="76">
        <v>2132</v>
      </c>
      <c r="AL199" s="76">
        <v>9362</v>
      </c>
      <c r="AM199" s="76" t="b">
        <v>0</v>
      </c>
      <c r="AN199" s="78">
        <v>39755.73585648148</v>
      </c>
      <c r="AO199" s="76" t="s">
        <v>852</v>
      </c>
      <c r="AP199" s="76" t="s">
        <v>1934</v>
      </c>
      <c r="AQ199" s="82" t="str">
        <f>HYPERLINK("https://t.co/8XRrvdloll")</f>
        <v>https://t.co/8XRrvdloll</v>
      </c>
      <c r="AR199" s="82" t="str">
        <f>HYPERLINK("http://portlandbusinessjournal.com")</f>
        <v>http://portlandbusinessjournal.com</v>
      </c>
      <c r="AS199" s="76" t="s">
        <v>2047</v>
      </c>
      <c r="AT199" s="76"/>
      <c r="AU199" s="76"/>
      <c r="AV199" s="76"/>
      <c r="AW199" s="76"/>
      <c r="AX199" s="82" t="str">
        <f>HYPERLINK("https://t.co/8XRrvdloll")</f>
        <v>https://t.co/8XRrvdloll</v>
      </c>
      <c r="AY199" s="76" t="b">
        <v>0</v>
      </c>
      <c r="AZ199" s="76"/>
      <c r="BA199" s="76"/>
      <c r="BB199" s="76" t="b">
        <v>0</v>
      </c>
      <c r="BC199" s="76" t="b">
        <v>1</v>
      </c>
      <c r="BD199" s="76" t="b">
        <v>0</v>
      </c>
      <c r="BE199" s="76" t="b">
        <v>0</v>
      </c>
      <c r="BF199" s="76" t="b">
        <v>0</v>
      </c>
      <c r="BG199" s="76" t="b">
        <v>0</v>
      </c>
      <c r="BH199" s="76" t="b">
        <v>0</v>
      </c>
      <c r="BI199" s="82" t="str">
        <f>HYPERLINK("https://pbs.twimg.com/profile_banners/17135038/1375987256")</f>
        <v>https://pbs.twimg.com/profile_banners/17135038/1375987256</v>
      </c>
      <c r="BJ199" s="76"/>
      <c r="BK199" s="76" t="s">
        <v>2092</v>
      </c>
      <c r="BL199" s="76" t="b">
        <v>0</v>
      </c>
      <c r="BM199" s="76"/>
      <c r="BN199" s="76" t="s">
        <v>66</v>
      </c>
      <c r="BO199" s="76" t="s">
        <v>2094</v>
      </c>
      <c r="BP199" s="82" t="str">
        <f>HYPERLINK("https://twitter.com/pdxbizjournal")</f>
        <v>https://twitter.com/pdxbizjournal</v>
      </c>
      <c r="BQ199" s="76" t="str">
        <f>REPLACE(INDEX(GroupVertices[Group],MATCH("~"&amp;Vertices[[#This Row],[Vertex]],GroupVertices[Vertex],0)),1,1,"")</f>
        <v>1</v>
      </c>
      <c r="BR199" s="45">
        <v>3</v>
      </c>
      <c r="BS199" s="46">
        <v>3.5714285714285716</v>
      </c>
      <c r="BT199" s="45">
        <v>6</v>
      </c>
      <c r="BU199" s="46">
        <v>7.142857142857143</v>
      </c>
      <c r="BV199" s="45">
        <v>0</v>
      </c>
      <c r="BW199" s="46">
        <v>0</v>
      </c>
      <c r="BX199" s="45">
        <v>39</v>
      </c>
      <c r="BY199" s="46">
        <v>46.42857142857143</v>
      </c>
      <c r="BZ199" s="45">
        <v>84</v>
      </c>
      <c r="CA199" s="45" t="s">
        <v>11262</v>
      </c>
      <c r="CB199" s="45" t="s">
        <v>11266</v>
      </c>
      <c r="CC199" s="45" t="s">
        <v>616</v>
      </c>
      <c r="CD199" s="45" t="s">
        <v>616</v>
      </c>
      <c r="CE199" s="45"/>
      <c r="CF199" s="45"/>
      <c r="CG199" s="114" t="s">
        <v>11385</v>
      </c>
      <c r="CH199" s="114" t="s">
        <v>11385</v>
      </c>
      <c r="CI199" s="114" t="s">
        <v>11514</v>
      </c>
      <c r="CJ199" s="114" t="s">
        <v>11514</v>
      </c>
      <c r="CK199" s="2"/>
    </row>
    <row r="200" spans="1:89" ht="41.45" customHeight="1">
      <c r="A200" s="61" t="s">
        <v>327</v>
      </c>
      <c r="C200" s="62"/>
      <c r="D200" s="62" t="s">
        <v>64</v>
      </c>
      <c r="E200" s="63">
        <v>70</v>
      </c>
      <c r="F200" s="65"/>
      <c r="G200" s="101" t="str">
        <f>HYPERLINK("https://pbs.twimg.com/profile_images/902629136916557824/O7l_oqTE_normal.jpg")</f>
        <v>https://pbs.twimg.com/profile_images/902629136916557824/O7l_oqTE_normal.jpg</v>
      </c>
      <c r="H200" s="62"/>
      <c r="I200" s="66" t="s">
        <v>327</v>
      </c>
      <c r="J200" s="67"/>
      <c r="K200" s="67" t="s">
        <v>75</v>
      </c>
      <c r="L200" s="66" t="s">
        <v>2290</v>
      </c>
      <c r="M200" s="70">
        <v>2000.6</v>
      </c>
      <c r="N200" s="71">
        <v>2020.277587890625</v>
      </c>
      <c r="O200" s="71">
        <v>7680.68359375</v>
      </c>
      <c r="P200" s="72"/>
      <c r="Q200" s="73"/>
      <c r="R200" s="73"/>
      <c r="S200" s="87"/>
      <c r="T200" s="45">
        <v>1</v>
      </c>
      <c r="U200" s="45">
        <v>1</v>
      </c>
      <c r="V200" s="46">
        <v>0</v>
      </c>
      <c r="W200" s="46">
        <v>0</v>
      </c>
      <c r="X200" s="46">
        <v>0</v>
      </c>
      <c r="Y200" s="46">
        <v>0.004673</v>
      </c>
      <c r="Z200" s="46">
        <v>0</v>
      </c>
      <c r="AA200" s="46">
        <v>0</v>
      </c>
      <c r="AB200" s="68">
        <v>199</v>
      </c>
      <c r="AC200" s="68"/>
      <c r="AD200" s="69"/>
      <c r="AE200" s="76" t="s">
        <v>1522</v>
      </c>
      <c r="AF200" s="80" t="s">
        <v>1634</v>
      </c>
      <c r="AG200" s="76">
        <v>419674</v>
      </c>
      <c r="AH200" s="76">
        <v>1154</v>
      </c>
      <c r="AI200" s="76">
        <v>222368</v>
      </c>
      <c r="AJ200" s="76">
        <v>4290</v>
      </c>
      <c r="AK200" s="76">
        <v>1582</v>
      </c>
      <c r="AL200" s="76">
        <v>117869</v>
      </c>
      <c r="AM200" s="76" t="b">
        <v>0</v>
      </c>
      <c r="AN200" s="78">
        <v>39171.710486111115</v>
      </c>
      <c r="AO200" s="76" t="s">
        <v>1677</v>
      </c>
      <c r="AP200" s="76" t="s">
        <v>1935</v>
      </c>
      <c r="AQ200" s="82" t="str">
        <f>HYPERLINK("http://t.co/8QfAUsYcQx")</f>
        <v>http://t.co/8QfAUsYcQx</v>
      </c>
      <c r="AR200" s="82" t="str">
        <f>HYPERLINK("http://oregonlive.com")</f>
        <v>http://oregonlive.com</v>
      </c>
      <c r="AS200" s="76" t="s">
        <v>617</v>
      </c>
      <c r="AT200" s="82" t="str">
        <f>HYPERLINK("https://t.co/ToPnEy6ueV")</f>
        <v>https://t.co/ToPnEy6ueV</v>
      </c>
      <c r="AU200" s="82" t="str">
        <f>HYPERLINK("http://OregonLive.com")</f>
        <v>http://OregonLive.com</v>
      </c>
      <c r="AV200" s="76" t="s">
        <v>1418</v>
      </c>
      <c r="AW200" s="76"/>
      <c r="AX200" s="82" t="str">
        <f>HYPERLINK("http://t.co/8QfAUsYcQx")</f>
        <v>http://t.co/8QfAUsYcQx</v>
      </c>
      <c r="AY200" s="76" t="b">
        <v>0</v>
      </c>
      <c r="AZ200" s="76"/>
      <c r="BA200" s="76"/>
      <c r="BB200" s="76" t="b">
        <v>1</v>
      </c>
      <c r="BC200" s="76" t="b">
        <v>0</v>
      </c>
      <c r="BD200" s="76" t="b">
        <v>0</v>
      </c>
      <c r="BE200" s="76" t="b">
        <v>0</v>
      </c>
      <c r="BF200" s="76" t="b">
        <v>0</v>
      </c>
      <c r="BG200" s="76" t="b">
        <v>0</v>
      </c>
      <c r="BH200" s="76" t="b">
        <v>0</v>
      </c>
      <c r="BI200" s="82" t="str">
        <f>HYPERLINK("https://pbs.twimg.com/profile_banners/2992751/1404326529")</f>
        <v>https://pbs.twimg.com/profile_banners/2992751/1404326529</v>
      </c>
      <c r="BJ200" s="76"/>
      <c r="BK200" s="76" t="s">
        <v>2092</v>
      </c>
      <c r="BL200" s="76" t="b">
        <v>0</v>
      </c>
      <c r="BM200" s="76"/>
      <c r="BN200" s="76" t="s">
        <v>66</v>
      </c>
      <c r="BO200" s="76" t="s">
        <v>2094</v>
      </c>
      <c r="BP200" s="82" t="str">
        <f>HYPERLINK("https://twitter.com/oregonian")</f>
        <v>https://twitter.com/oregonian</v>
      </c>
      <c r="BQ200" s="76" t="str">
        <f>REPLACE(INDEX(GroupVertices[Group],MATCH("~"&amp;Vertices[[#This Row],[Vertex]],GroupVertices[Vertex],0)),1,1,"")</f>
        <v>1</v>
      </c>
      <c r="BR200" s="45">
        <v>0</v>
      </c>
      <c r="BS200" s="46">
        <v>0</v>
      </c>
      <c r="BT200" s="45">
        <v>4</v>
      </c>
      <c r="BU200" s="46">
        <v>26.666666666666668</v>
      </c>
      <c r="BV200" s="45">
        <v>0</v>
      </c>
      <c r="BW200" s="46">
        <v>0</v>
      </c>
      <c r="BX200" s="45">
        <v>8</v>
      </c>
      <c r="BY200" s="46">
        <v>53.333333333333336</v>
      </c>
      <c r="BZ200" s="45">
        <v>15</v>
      </c>
      <c r="CA200" s="45" t="s">
        <v>10989</v>
      </c>
      <c r="CB200" s="45" t="s">
        <v>10989</v>
      </c>
      <c r="CC200" s="45" t="s">
        <v>617</v>
      </c>
      <c r="CD200" s="45" t="s">
        <v>617</v>
      </c>
      <c r="CE200" s="45"/>
      <c r="CF200" s="45"/>
      <c r="CG200" s="114" t="s">
        <v>11386</v>
      </c>
      <c r="CH200" s="114" t="s">
        <v>11386</v>
      </c>
      <c r="CI200" s="114" t="s">
        <v>11515</v>
      </c>
      <c r="CJ200" s="114" t="s">
        <v>11515</v>
      </c>
      <c r="CK200" s="2"/>
    </row>
    <row r="201" spans="1:89" ht="41.45" customHeight="1">
      <c r="A201" s="61" t="s">
        <v>329</v>
      </c>
      <c r="C201" s="62"/>
      <c r="D201" s="62" t="s">
        <v>64</v>
      </c>
      <c r="E201" s="63">
        <v>70</v>
      </c>
      <c r="F201" s="65"/>
      <c r="G201" s="101" t="str">
        <f>HYPERLINK("https://pbs.twimg.com/profile_images/1675571203438940160/xo83RUaY_normal.jpg")</f>
        <v>https://pbs.twimg.com/profile_images/1675571203438940160/xo83RUaY_normal.jpg</v>
      </c>
      <c r="H201" s="62"/>
      <c r="I201" s="66" t="s">
        <v>329</v>
      </c>
      <c r="J201" s="67"/>
      <c r="K201" s="67" t="s">
        <v>75</v>
      </c>
      <c r="L201" s="66" t="s">
        <v>2291</v>
      </c>
      <c r="M201" s="70">
        <v>1</v>
      </c>
      <c r="N201" s="71">
        <v>7657.54736328125</v>
      </c>
      <c r="O201" s="71">
        <v>3777.343994140625</v>
      </c>
      <c r="P201" s="72"/>
      <c r="Q201" s="73"/>
      <c r="R201" s="73"/>
      <c r="S201" s="87"/>
      <c r="T201" s="45">
        <v>0</v>
      </c>
      <c r="U201" s="45">
        <v>1</v>
      </c>
      <c r="V201" s="46">
        <v>0</v>
      </c>
      <c r="W201" s="46">
        <v>0.004695</v>
      </c>
      <c r="X201" s="46">
        <v>0</v>
      </c>
      <c r="Y201" s="46">
        <v>0.004673</v>
      </c>
      <c r="Z201" s="46">
        <v>0</v>
      </c>
      <c r="AA201" s="46">
        <v>0</v>
      </c>
      <c r="AB201" s="68">
        <v>200</v>
      </c>
      <c r="AC201" s="68"/>
      <c r="AD201" s="69"/>
      <c r="AE201" s="76" t="s">
        <v>1523</v>
      </c>
      <c r="AF201" s="80" t="s">
        <v>1284</v>
      </c>
      <c r="AG201" s="76">
        <v>49</v>
      </c>
      <c r="AH201" s="76">
        <v>96</v>
      </c>
      <c r="AI201" s="76">
        <v>2270</v>
      </c>
      <c r="AJ201" s="76">
        <v>0</v>
      </c>
      <c r="AK201" s="76">
        <v>6998</v>
      </c>
      <c r="AL201" s="76">
        <v>152</v>
      </c>
      <c r="AM201" s="76" t="b">
        <v>0</v>
      </c>
      <c r="AN201" s="78">
        <v>43300.15806712963</v>
      </c>
      <c r="AO201" s="76" t="s">
        <v>1742</v>
      </c>
      <c r="AP201" s="76" t="s">
        <v>1936</v>
      </c>
      <c r="AQ201" s="76"/>
      <c r="AR201" s="76"/>
      <c r="AS201" s="76"/>
      <c r="AT201" s="76"/>
      <c r="AU201" s="76"/>
      <c r="AV201" s="76"/>
      <c r="AW201" s="76">
        <v>1.67736803942639E+18</v>
      </c>
      <c r="AX201" s="76"/>
      <c r="AY201" s="76" t="b">
        <v>0</v>
      </c>
      <c r="AZ201" s="76"/>
      <c r="BA201" s="76"/>
      <c r="BB201" s="76" t="b">
        <v>0</v>
      </c>
      <c r="BC201" s="76" t="b">
        <v>1</v>
      </c>
      <c r="BD201" s="76" t="b">
        <v>1</v>
      </c>
      <c r="BE201" s="76" t="b">
        <v>0</v>
      </c>
      <c r="BF201" s="76" t="b">
        <v>1</v>
      </c>
      <c r="BG201" s="76" t="b">
        <v>0</v>
      </c>
      <c r="BH201" s="76" t="b">
        <v>0</v>
      </c>
      <c r="BI201" s="82" t="str">
        <f>HYPERLINK("https://pbs.twimg.com/profile_banners/1019790840451887104/1688322281")</f>
        <v>https://pbs.twimg.com/profile_banners/1019790840451887104/1688322281</v>
      </c>
      <c r="BJ201" s="76"/>
      <c r="BK201" s="76" t="s">
        <v>2092</v>
      </c>
      <c r="BL201" s="76" t="b">
        <v>0</v>
      </c>
      <c r="BM201" s="76"/>
      <c r="BN201" s="76" t="s">
        <v>66</v>
      </c>
      <c r="BO201" s="76" t="s">
        <v>2094</v>
      </c>
      <c r="BP201" s="82" t="str">
        <f>HYPERLINK("https://twitter.com/zlorple")</f>
        <v>https://twitter.com/zlorple</v>
      </c>
      <c r="BQ201" s="76" t="str">
        <f>REPLACE(INDEX(GroupVertices[Group],MATCH("~"&amp;Vertices[[#This Row],[Vertex]],GroupVertices[Vertex],0)),1,1,"")</f>
        <v>28</v>
      </c>
      <c r="BR201" s="45">
        <v>0</v>
      </c>
      <c r="BS201" s="46">
        <v>0</v>
      </c>
      <c r="BT201" s="45">
        <v>2</v>
      </c>
      <c r="BU201" s="46">
        <v>14.285714285714286</v>
      </c>
      <c r="BV201" s="45">
        <v>0</v>
      </c>
      <c r="BW201" s="46">
        <v>0</v>
      </c>
      <c r="BX201" s="45">
        <v>9</v>
      </c>
      <c r="BY201" s="46">
        <v>64.28571428571429</v>
      </c>
      <c r="BZ201" s="45">
        <v>14</v>
      </c>
      <c r="CA201" s="45"/>
      <c r="CB201" s="45"/>
      <c r="CC201" s="45"/>
      <c r="CD201" s="45"/>
      <c r="CE201" s="45"/>
      <c r="CF201" s="45"/>
      <c r="CG201" s="114" t="s">
        <v>11387</v>
      </c>
      <c r="CH201" s="114" t="s">
        <v>11387</v>
      </c>
      <c r="CI201" s="114" t="s">
        <v>11516</v>
      </c>
      <c r="CJ201" s="114" t="s">
        <v>11516</v>
      </c>
      <c r="CK201" s="2"/>
    </row>
    <row r="202" spans="1:89" ht="41.45" customHeight="1">
      <c r="A202" s="61" t="s">
        <v>429</v>
      </c>
      <c r="C202" s="62"/>
      <c r="D202" s="62" t="s">
        <v>64</v>
      </c>
      <c r="E202" s="63">
        <v>70</v>
      </c>
      <c r="F202" s="65"/>
      <c r="G202" s="101" t="str">
        <f>HYPERLINK("https://pbs.twimg.com/profile_images/1748781896656384000/nztM4QZy_normal.jpg")</f>
        <v>https://pbs.twimg.com/profile_images/1748781896656384000/nztM4QZy_normal.jpg</v>
      </c>
      <c r="H202" s="62"/>
      <c r="I202" s="66" t="s">
        <v>429</v>
      </c>
      <c r="J202" s="67"/>
      <c r="K202" s="67" t="s">
        <v>75</v>
      </c>
      <c r="L202" s="66" t="s">
        <v>2292</v>
      </c>
      <c r="M202" s="70">
        <v>2000.6</v>
      </c>
      <c r="N202" s="71">
        <v>7657.54736328125</v>
      </c>
      <c r="O202" s="71">
        <v>3117.127685546875</v>
      </c>
      <c r="P202" s="72"/>
      <c r="Q202" s="73"/>
      <c r="R202" s="73"/>
      <c r="S202" s="87"/>
      <c r="T202" s="45">
        <v>1</v>
      </c>
      <c r="U202" s="45">
        <v>0</v>
      </c>
      <c r="V202" s="46">
        <v>0</v>
      </c>
      <c r="W202" s="46">
        <v>0.004695</v>
      </c>
      <c r="X202" s="46">
        <v>0</v>
      </c>
      <c r="Y202" s="46">
        <v>0.004673</v>
      </c>
      <c r="Z202" s="46">
        <v>0</v>
      </c>
      <c r="AA202" s="46">
        <v>0</v>
      </c>
      <c r="AB202" s="68">
        <v>201</v>
      </c>
      <c r="AC202" s="68"/>
      <c r="AD202" s="69"/>
      <c r="AE202" s="76" t="s">
        <v>1524</v>
      </c>
      <c r="AF202" s="80" t="s">
        <v>1203</v>
      </c>
      <c r="AG202" s="76">
        <v>5280</v>
      </c>
      <c r="AH202" s="76">
        <v>1849</v>
      </c>
      <c r="AI202" s="76">
        <v>27971</v>
      </c>
      <c r="AJ202" s="76">
        <v>16</v>
      </c>
      <c r="AK202" s="76">
        <v>31405</v>
      </c>
      <c r="AL202" s="76">
        <v>3590</v>
      </c>
      <c r="AM202" s="76" t="b">
        <v>0</v>
      </c>
      <c r="AN202" s="78">
        <v>43035.08081018519</v>
      </c>
      <c r="AO202" s="76"/>
      <c r="AP202" s="76" t="s">
        <v>1937</v>
      </c>
      <c r="AQ202" s="82" t="str">
        <f>HYPERLINK("https://t.co/LkUQJlDrYP")</f>
        <v>https://t.co/LkUQJlDrYP</v>
      </c>
      <c r="AR202" s="82" t="str">
        <f>HYPERLINK("https://www.cargilltenantsunion.org/")</f>
        <v>https://www.cargilltenantsunion.org/</v>
      </c>
      <c r="AS202" s="76" t="s">
        <v>2048</v>
      </c>
      <c r="AT202" s="76"/>
      <c r="AU202" s="76"/>
      <c r="AV202" s="76"/>
      <c r="AW202" s="76">
        <v>1.74480830663011E+18</v>
      </c>
      <c r="AX202" s="82" t="str">
        <f>HYPERLINK("https://t.co/LkUQJlDrYP")</f>
        <v>https://t.co/LkUQJlDrYP</v>
      </c>
      <c r="AY202" s="76" t="b">
        <v>0</v>
      </c>
      <c r="AZ202" s="76"/>
      <c r="BA202" s="76"/>
      <c r="BB202" s="76" t="b">
        <v>1</v>
      </c>
      <c r="BC202" s="76" t="b">
        <v>0</v>
      </c>
      <c r="BD202" s="76" t="b">
        <v>0</v>
      </c>
      <c r="BE202" s="76" t="b">
        <v>0</v>
      </c>
      <c r="BF202" s="76" t="b">
        <v>1</v>
      </c>
      <c r="BG202" s="76" t="b">
        <v>0</v>
      </c>
      <c r="BH202" s="76" t="b">
        <v>0</v>
      </c>
      <c r="BI202" s="82" t="str">
        <f>HYPERLINK("https://pbs.twimg.com/profile_banners/923730057276870656/1695091446")</f>
        <v>https://pbs.twimg.com/profile_banners/923730057276870656/1695091446</v>
      </c>
      <c r="BJ202" s="76"/>
      <c r="BK202" s="76" t="s">
        <v>2092</v>
      </c>
      <c r="BL202" s="76" t="b">
        <v>0</v>
      </c>
      <c r="BM202" s="76"/>
      <c r="BN202" s="76" t="s">
        <v>65</v>
      </c>
      <c r="BO202" s="76" t="s">
        <v>2094</v>
      </c>
      <c r="BP202" s="82" t="str">
        <f>HYPERLINK("https://twitter.com/itsbedtime_")</f>
        <v>https://twitter.com/itsbedtime_</v>
      </c>
      <c r="BQ202" s="76" t="str">
        <f>REPLACE(INDEX(GroupVertices[Group],MATCH("~"&amp;Vertices[[#This Row],[Vertex]],GroupVertices[Vertex],0)),1,1,"")</f>
        <v>28</v>
      </c>
      <c r="BR202" s="45"/>
      <c r="BS202" s="46"/>
      <c r="BT202" s="45"/>
      <c r="BU202" s="46"/>
      <c r="BV202" s="45"/>
      <c r="BW202" s="46"/>
      <c r="BX202" s="45"/>
      <c r="BY202" s="46"/>
      <c r="BZ202" s="45"/>
      <c r="CA202" s="45"/>
      <c r="CB202" s="45"/>
      <c r="CC202" s="45"/>
      <c r="CD202" s="45"/>
      <c r="CE202" s="45"/>
      <c r="CF202" s="45"/>
      <c r="CG202" s="45"/>
      <c r="CH202" s="45"/>
      <c r="CI202" s="45"/>
      <c r="CJ202" s="45"/>
      <c r="CK202" s="2"/>
    </row>
    <row r="203" spans="1:89" ht="41.45" customHeight="1">
      <c r="A203" s="61" t="s">
        <v>330</v>
      </c>
      <c r="C203" s="62"/>
      <c r="D203" s="62" t="s">
        <v>64</v>
      </c>
      <c r="E203" s="63">
        <v>70</v>
      </c>
      <c r="F203" s="65"/>
      <c r="G203" s="101" t="str">
        <f>HYPERLINK("https://pbs.twimg.com/profile_images/1518820208676249600/7O4r4Ika_normal.jpg")</f>
        <v>https://pbs.twimg.com/profile_images/1518820208676249600/7O4r4Ika_normal.jpg</v>
      </c>
      <c r="H203" s="62"/>
      <c r="I203" s="66" t="s">
        <v>330</v>
      </c>
      <c r="J203" s="67"/>
      <c r="K203" s="67" t="s">
        <v>75</v>
      </c>
      <c r="L203" s="66" t="s">
        <v>2293</v>
      </c>
      <c r="M203" s="70">
        <v>1</v>
      </c>
      <c r="N203" s="71">
        <v>7657.54736328125</v>
      </c>
      <c r="O203" s="71">
        <v>2407.773193359375</v>
      </c>
      <c r="P203" s="72"/>
      <c r="Q203" s="73"/>
      <c r="R203" s="73"/>
      <c r="S203" s="87"/>
      <c r="T203" s="45">
        <v>0</v>
      </c>
      <c r="U203" s="45">
        <v>1</v>
      </c>
      <c r="V203" s="46">
        <v>0</v>
      </c>
      <c r="W203" s="46">
        <v>0.004695</v>
      </c>
      <c r="X203" s="46">
        <v>0</v>
      </c>
      <c r="Y203" s="46">
        <v>0.004673</v>
      </c>
      <c r="Z203" s="46">
        <v>0</v>
      </c>
      <c r="AA203" s="46">
        <v>0</v>
      </c>
      <c r="AB203" s="68">
        <v>202</v>
      </c>
      <c r="AC203" s="68"/>
      <c r="AD203" s="69"/>
      <c r="AE203" s="76" t="s">
        <v>1525</v>
      </c>
      <c r="AF203" s="80" t="s">
        <v>1635</v>
      </c>
      <c r="AG203" s="76">
        <v>217</v>
      </c>
      <c r="AH203" s="76">
        <v>164</v>
      </c>
      <c r="AI203" s="76">
        <v>84365</v>
      </c>
      <c r="AJ203" s="76">
        <v>10</v>
      </c>
      <c r="AK203" s="76">
        <v>10472</v>
      </c>
      <c r="AL203" s="76">
        <v>1775</v>
      </c>
      <c r="AM203" s="76" t="b">
        <v>0</v>
      </c>
      <c r="AN203" s="78">
        <v>40343.903715277775</v>
      </c>
      <c r="AO203" s="76" t="s">
        <v>1711</v>
      </c>
      <c r="AP203" s="76" t="s">
        <v>1938</v>
      </c>
      <c r="AQ203" s="82" t="str">
        <f>HYPERLINK("https://t.co/6xRqS6euda")</f>
        <v>https://t.co/6xRqS6euda</v>
      </c>
      <c r="AR203" s="82" t="str">
        <f>HYPERLINK("http://spartydragon.deviantart.com")</f>
        <v>http://spartydragon.deviantart.com</v>
      </c>
      <c r="AS203" s="76" t="s">
        <v>2049</v>
      </c>
      <c r="AT203" s="76"/>
      <c r="AU203" s="76"/>
      <c r="AV203" s="76"/>
      <c r="AW203" s="76">
        <v>1.59087511034881E+18</v>
      </c>
      <c r="AX203" s="82" t="str">
        <f>HYPERLINK("https://t.co/6xRqS6euda")</f>
        <v>https://t.co/6xRqS6euda</v>
      </c>
      <c r="AY203" s="76" t="b">
        <v>0</v>
      </c>
      <c r="AZ203" s="76"/>
      <c r="BA203" s="76"/>
      <c r="BB203" s="76" t="b">
        <v>0</v>
      </c>
      <c r="BC203" s="76" t="b">
        <v>0</v>
      </c>
      <c r="BD203" s="76" t="b">
        <v>0</v>
      </c>
      <c r="BE203" s="76" t="b">
        <v>0</v>
      </c>
      <c r="BF203" s="76" t="b">
        <v>0</v>
      </c>
      <c r="BG203" s="76" t="b">
        <v>0</v>
      </c>
      <c r="BH203" s="76" t="b">
        <v>0</v>
      </c>
      <c r="BI203" s="82" t="str">
        <f>HYPERLINK("https://pbs.twimg.com/profile_banners/155701809/1674421795")</f>
        <v>https://pbs.twimg.com/profile_banners/155701809/1674421795</v>
      </c>
      <c r="BJ203" s="76"/>
      <c r="BK203" s="76" t="s">
        <v>2092</v>
      </c>
      <c r="BL203" s="76" t="b">
        <v>0</v>
      </c>
      <c r="BM203" s="76"/>
      <c r="BN203" s="76" t="s">
        <v>66</v>
      </c>
      <c r="BO203" s="76" t="s">
        <v>2094</v>
      </c>
      <c r="BP203" s="82" t="str">
        <f>HYPERLINK("https://twitter.com/spartytoon")</f>
        <v>https://twitter.com/spartytoon</v>
      </c>
      <c r="BQ203" s="76" t="str">
        <f>REPLACE(INDEX(GroupVertices[Group],MATCH("~"&amp;Vertices[[#This Row],[Vertex]],GroupVertices[Vertex],0)),1,1,"")</f>
        <v>27</v>
      </c>
      <c r="BR203" s="45">
        <v>0</v>
      </c>
      <c r="BS203" s="46">
        <v>0</v>
      </c>
      <c r="BT203" s="45">
        <v>3</v>
      </c>
      <c r="BU203" s="46">
        <v>27.272727272727273</v>
      </c>
      <c r="BV203" s="45">
        <v>0</v>
      </c>
      <c r="BW203" s="46">
        <v>0</v>
      </c>
      <c r="BX203" s="45">
        <v>3</v>
      </c>
      <c r="BY203" s="46">
        <v>27.272727272727273</v>
      </c>
      <c r="BZ203" s="45">
        <v>11</v>
      </c>
      <c r="CA203" s="45"/>
      <c r="CB203" s="45"/>
      <c r="CC203" s="45"/>
      <c r="CD203" s="45"/>
      <c r="CE203" s="45"/>
      <c r="CF203" s="45"/>
      <c r="CG203" s="114" t="s">
        <v>11388</v>
      </c>
      <c r="CH203" s="114" t="s">
        <v>11388</v>
      </c>
      <c r="CI203" s="114" t="s">
        <v>11517</v>
      </c>
      <c r="CJ203" s="114" t="s">
        <v>11517</v>
      </c>
      <c r="CK203" s="2"/>
    </row>
    <row r="204" spans="1:89" ht="41.45" customHeight="1">
      <c r="A204" s="61" t="s">
        <v>430</v>
      </c>
      <c r="C204" s="62"/>
      <c r="D204" s="62" t="s">
        <v>64</v>
      </c>
      <c r="E204" s="63">
        <v>70</v>
      </c>
      <c r="F204" s="65"/>
      <c r="G204" s="101" t="str">
        <f>HYPERLINK("https://pbs.twimg.com/profile_images/1620165586297958401/lrqJGsM6_normal.jpg")</f>
        <v>https://pbs.twimg.com/profile_images/1620165586297958401/lrqJGsM6_normal.jpg</v>
      </c>
      <c r="H204" s="62"/>
      <c r="I204" s="66" t="s">
        <v>430</v>
      </c>
      <c r="J204" s="67"/>
      <c r="K204" s="67" t="s">
        <v>75</v>
      </c>
      <c r="L204" s="66" t="s">
        <v>2294</v>
      </c>
      <c r="M204" s="70">
        <v>2000.6</v>
      </c>
      <c r="N204" s="71">
        <v>7657.54736328125</v>
      </c>
      <c r="O204" s="71">
        <v>1750.0770263671875</v>
      </c>
      <c r="P204" s="72"/>
      <c r="Q204" s="73"/>
      <c r="R204" s="73"/>
      <c r="S204" s="87"/>
      <c r="T204" s="45">
        <v>1</v>
      </c>
      <c r="U204" s="45">
        <v>0</v>
      </c>
      <c r="V204" s="46">
        <v>0</v>
      </c>
      <c r="W204" s="46">
        <v>0.004695</v>
      </c>
      <c r="X204" s="46">
        <v>0</v>
      </c>
      <c r="Y204" s="46">
        <v>0.004673</v>
      </c>
      <c r="Z204" s="46">
        <v>0</v>
      </c>
      <c r="AA204" s="46">
        <v>0</v>
      </c>
      <c r="AB204" s="68">
        <v>203</v>
      </c>
      <c r="AC204" s="68"/>
      <c r="AD204" s="69"/>
      <c r="AE204" s="76" t="s">
        <v>1526</v>
      </c>
      <c r="AF204" s="80" t="s">
        <v>1636</v>
      </c>
      <c r="AG204" s="76">
        <v>5068254</v>
      </c>
      <c r="AH204" s="76">
        <v>911</v>
      </c>
      <c r="AI204" s="76">
        <v>77785</v>
      </c>
      <c r="AJ204" s="76">
        <v>7870</v>
      </c>
      <c r="AK204" s="76">
        <v>377414</v>
      </c>
      <c r="AL204" s="76">
        <v>12713</v>
      </c>
      <c r="AM204" s="76" t="b">
        <v>0</v>
      </c>
      <c r="AN204" s="78">
        <v>39533.13927083334</v>
      </c>
      <c r="AO204" s="76" t="s">
        <v>1743</v>
      </c>
      <c r="AP204" s="76" t="s">
        <v>1939</v>
      </c>
      <c r="AQ204" s="82" t="str">
        <f>HYPERLINK("https://t.co/vsugnGcJTT")</f>
        <v>https://t.co/vsugnGcJTT</v>
      </c>
      <c r="AR204" s="82" t="str">
        <f>HYPERLINK("http://linktr.ee/tyleroakley")</f>
        <v>http://linktr.ee/tyleroakley</v>
      </c>
      <c r="AS204" s="76" t="s">
        <v>2050</v>
      </c>
      <c r="AT204" s="82" t="str">
        <f>HYPERLINK("https://t.co/1hLgLfYgM9")</f>
        <v>https://t.co/1hLgLfYgM9</v>
      </c>
      <c r="AU204" s="82" t="str">
        <f>HYPERLINK("http://twitch.tv/tyleroakley")</f>
        <v>http://twitch.tv/tyleroakley</v>
      </c>
      <c r="AV204" s="76" t="s">
        <v>2088</v>
      </c>
      <c r="AW204" s="76">
        <v>1.74999345836919E+18</v>
      </c>
      <c r="AX204" s="82" t="str">
        <f>HYPERLINK("https://t.co/vsugnGcJTT")</f>
        <v>https://t.co/vsugnGcJTT</v>
      </c>
      <c r="AY204" s="76" t="b">
        <v>0</v>
      </c>
      <c r="AZ204" s="76"/>
      <c r="BA204" s="76" t="b">
        <v>1</v>
      </c>
      <c r="BB204" s="76" t="b">
        <v>0</v>
      </c>
      <c r="BC204" s="76" t="b">
        <v>0</v>
      </c>
      <c r="BD204" s="76" t="b">
        <v>0</v>
      </c>
      <c r="BE204" s="76" t="b">
        <v>0</v>
      </c>
      <c r="BF204" s="76" t="b">
        <v>1</v>
      </c>
      <c r="BG204" s="76" t="b">
        <v>0</v>
      </c>
      <c r="BH204" s="76" t="b">
        <v>0</v>
      </c>
      <c r="BI204" s="82" t="str">
        <f>HYPERLINK("https://pbs.twimg.com/profile_banners/14222536/1642100642")</f>
        <v>https://pbs.twimg.com/profile_banners/14222536/1642100642</v>
      </c>
      <c r="BJ204" s="76"/>
      <c r="BK204" s="76" t="s">
        <v>2093</v>
      </c>
      <c r="BL204" s="76" t="b">
        <v>1</v>
      </c>
      <c r="BM204" s="76"/>
      <c r="BN204" s="76" t="s">
        <v>66</v>
      </c>
      <c r="BO204" s="76" t="s">
        <v>2094</v>
      </c>
      <c r="BP204" s="82" t="str">
        <f>HYPERLINK("https://twitter.com/tyleroakley")</f>
        <v>https://twitter.com/tyleroakley</v>
      </c>
      <c r="BQ204" s="76" t="str">
        <f>REPLACE(INDEX(GroupVertices[Group],MATCH("~"&amp;Vertices[[#This Row],[Vertex]],GroupVertices[Vertex],0)),1,1,"")</f>
        <v>27</v>
      </c>
      <c r="BR204" s="45"/>
      <c r="BS204" s="46"/>
      <c r="BT204" s="45"/>
      <c r="BU204" s="46"/>
      <c r="BV204" s="45"/>
      <c r="BW204" s="46"/>
      <c r="BX204" s="45"/>
      <c r="BY204" s="46"/>
      <c r="BZ204" s="45"/>
      <c r="CA204" s="45"/>
      <c r="CB204" s="45"/>
      <c r="CC204" s="45"/>
      <c r="CD204" s="45"/>
      <c r="CE204" s="45"/>
      <c r="CF204" s="45"/>
      <c r="CG204" s="45"/>
      <c r="CH204" s="45"/>
      <c r="CI204" s="45"/>
      <c r="CJ204" s="45"/>
      <c r="CK204" s="2"/>
    </row>
    <row r="205" spans="1:89" ht="41.45" customHeight="1">
      <c r="A205" s="61" t="s">
        <v>331</v>
      </c>
      <c r="C205" s="62"/>
      <c r="D205" s="62" t="s">
        <v>64</v>
      </c>
      <c r="E205" s="63">
        <v>70</v>
      </c>
      <c r="F205" s="65"/>
      <c r="G205" s="101" t="str">
        <f>HYPERLINK("https://pbs.twimg.com/profile_images/1713971327378538498/vleioOuB_normal.jpg")</f>
        <v>https://pbs.twimg.com/profile_images/1713971327378538498/vleioOuB_normal.jpg</v>
      </c>
      <c r="H205" s="62"/>
      <c r="I205" s="66" t="s">
        <v>331</v>
      </c>
      <c r="J205" s="67"/>
      <c r="K205" s="67" t="s">
        <v>75</v>
      </c>
      <c r="L205" s="66" t="s">
        <v>2295</v>
      </c>
      <c r="M205" s="70">
        <v>1</v>
      </c>
      <c r="N205" s="71">
        <v>9652.7666015625</v>
      </c>
      <c r="O205" s="71">
        <v>5144.39453125</v>
      </c>
      <c r="P205" s="72"/>
      <c r="Q205" s="73"/>
      <c r="R205" s="73"/>
      <c r="S205" s="87"/>
      <c r="T205" s="45">
        <v>0</v>
      </c>
      <c r="U205" s="45">
        <v>1</v>
      </c>
      <c r="V205" s="46">
        <v>0</v>
      </c>
      <c r="W205" s="46">
        <v>0.004695</v>
      </c>
      <c r="X205" s="46">
        <v>0</v>
      </c>
      <c r="Y205" s="46">
        <v>0.004673</v>
      </c>
      <c r="Z205" s="46">
        <v>0</v>
      </c>
      <c r="AA205" s="46">
        <v>0</v>
      </c>
      <c r="AB205" s="68">
        <v>204</v>
      </c>
      <c r="AC205" s="68"/>
      <c r="AD205" s="69"/>
      <c r="AE205" s="76" t="s">
        <v>1527</v>
      </c>
      <c r="AF205" s="80" t="s">
        <v>1285</v>
      </c>
      <c r="AG205" s="76">
        <v>1527</v>
      </c>
      <c r="AH205" s="76">
        <v>708</v>
      </c>
      <c r="AI205" s="76">
        <v>1911</v>
      </c>
      <c r="AJ205" s="76">
        <v>5</v>
      </c>
      <c r="AK205" s="76">
        <v>7357</v>
      </c>
      <c r="AL205" s="76">
        <v>293</v>
      </c>
      <c r="AM205" s="76" t="b">
        <v>0</v>
      </c>
      <c r="AN205" s="78">
        <v>44502.895902777775</v>
      </c>
      <c r="AO205" s="76" t="s">
        <v>852</v>
      </c>
      <c r="AP205" s="76"/>
      <c r="AQ205" s="76"/>
      <c r="AR205" s="76"/>
      <c r="AS205" s="76"/>
      <c r="AT205" s="76"/>
      <c r="AU205" s="76"/>
      <c r="AV205" s="76"/>
      <c r="AW205" s="76">
        <v>1.619357007362E+18</v>
      </c>
      <c r="AX205" s="76"/>
      <c r="AY205" s="76" t="b">
        <v>1</v>
      </c>
      <c r="AZ205" s="76"/>
      <c r="BA205" s="76"/>
      <c r="BB205" s="76" t="b">
        <v>0</v>
      </c>
      <c r="BC205" s="76" t="b">
        <v>1</v>
      </c>
      <c r="BD205" s="76" t="b">
        <v>1</v>
      </c>
      <c r="BE205" s="76" t="b">
        <v>0</v>
      </c>
      <c r="BF205" s="76" t="b">
        <v>0</v>
      </c>
      <c r="BG205" s="76" t="b">
        <v>0</v>
      </c>
      <c r="BH205" s="76" t="b">
        <v>0</v>
      </c>
      <c r="BI205" s="82" t="str">
        <f>HYPERLINK("https://pbs.twimg.com/profile_banners/1455648384442789888/1674185612")</f>
        <v>https://pbs.twimg.com/profile_banners/1455648384442789888/1674185612</v>
      </c>
      <c r="BJ205" s="76"/>
      <c r="BK205" s="76" t="s">
        <v>2092</v>
      </c>
      <c r="BL205" s="76" t="b">
        <v>0</v>
      </c>
      <c r="BM205" s="76"/>
      <c r="BN205" s="76" t="s">
        <v>66</v>
      </c>
      <c r="BO205" s="76" t="s">
        <v>2094</v>
      </c>
      <c r="BP205" s="82" t="str">
        <f>HYPERLINK("https://twitter.com/italiangirl104")</f>
        <v>https://twitter.com/italiangirl104</v>
      </c>
      <c r="BQ205" s="76" t="str">
        <f>REPLACE(INDEX(GroupVertices[Group],MATCH("~"&amp;Vertices[[#This Row],[Vertex]],GroupVertices[Vertex],0)),1,1,"")</f>
        <v>26</v>
      </c>
      <c r="BR205" s="45">
        <v>1</v>
      </c>
      <c r="BS205" s="46">
        <v>3.4482758620689653</v>
      </c>
      <c r="BT205" s="45">
        <v>2</v>
      </c>
      <c r="BU205" s="46">
        <v>6.896551724137931</v>
      </c>
      <c r="BV205" s="45">
        <v>0</v>
      </c>
      <c r="BW205" s="46">
        <v>0</v>
      </c>
      <c r="BX205" s="45">
        <v>13</v>
      </c>
      <c r="BY205" s="46">
        <v>44.827586206896555</v>
      </c>
      <c r="BZ205" s="45">
        <v>29</v>
      </c>
      <c r="CA205" s="45"/>
      <c r="CB205" s="45"/>
      <c r="CC205" s="45"/>
      <c r="CD205" s="45"/>
      <c r="CE205" s="45"/>
      <c r="CF205" s="45"/>
      <c r="CG205" s="114" t="s">
        <v>11389</v>
      </c>
      <c r="CH205" s="114" t="s">
        <v>11389</v>
      </c>
      <c r="CI205" s="114" t="s">
        <v>11518</v>
      </c>
      <c r="CJ205" s="114" t="s">
        <v>11518</v>
      </c>
      <c r="CK205" s="2"/>
    </row>
    <row r="206" spans="1:89" ht="41.45" customHeight="1">
      <c r="A206" s="61" t="s">
        <v>431</v>
      </c>
      <c r="C206" s="62"/>
      <c r="D206" s="62" t="s">
        <v>64</v>
      </c>
      <c r="E206" s="63">
        <v>70</v>
      </c>
      <c r="F206" s="65"/>
      <c r="G206" s="101" t="str">
        <f>HYPERLINK("https://pbs.twimg.com/profile_images/1699230316504997888/uPP2qaCS_normal.jpg")</f>
        <v>https://pbs.twimg.com/profile_images/1699230316504997888/uPP2qaCS_normal.jpg</v>
      </c>
      <c r="H206" s="62"/>
      <c r="I206" s="66" t="s">
        <v>431</v>
      </c>
      <c r="J206" s="67"/>
      <c r="K206" s="67" t="s">
        <v>75</v>
      </c>
      <c r="L206" s="66" t="s">
        <v>2296</v>
      </c>
      <c r="M206" s="70">
        <v>2000.6</v>
      </c>
      <c r="N206" s="71">
        <v>9652.7666015625</v>
      </c>
      <c r="O206" s="71">
        <v>4486.69873046875</v>
      </c>
      <c r="P206" s="72"/>
      <c r="Q206" s="73"/>
      <c r="R206" s="73"/>
      <c r="S206" s="87"/>
      <c r="T206" s="45">
        <v>1</v>
      </c>
      <c r="U206" s="45">
        <v>0</v>
      </c>
      <c r="V206" s="46">
        <v>0</v>
      </c>
      <c r="W206" s="46">
        <v>0.004695</v>
      </c>
      <c r="X206" s="46">
        <v>0</v>
      </c>
      <c r="Y206" s="46">
        <v>0.004673</v>
      </c>
      <c r="Z206" s="46">
        <v>0</v>
      </c>
      <c r="AA206" s="46">
        <v>0</v>
      </c>
      <c r="AB206" s="68">
        <v>205</v>
      </c>
      <c r="AC206" s="68"/>
      <c r="AD206" s="69"/>
      <c r="AE206" s="76" t="s">
        <v>1528</v>
      </c>
      <c r="AF206" s="80" t="s">
        <v>1204</v>
      </c>
      <c r="AG206" s="76">
        <v>15456</v>
      </c>
      <c r="AH206" s="76">
        <v>3420</v>
      </c>
      <c r="AI206" s="76">
        <v>30644</v>
      </c>
      <c r="AJ206" s="76">
        <v>63</v>
      </c>
      <c r="AK206" s="76">
        <v>118999</v>
      </c>
      <c r="AL206" s="76">
        <v>2325</v>
      </c>
      <c r="AM206" s="76" t="b">
        <v>0</v>
      </c>
      <c r="AN206" s="78">
        <v>39953.71366898148</v>
      </c>
      <c r="AO206" s="76" t="s">
        <v>1658</v>
      </c>
      <c r="AP206" s="76" t="s">
        <v>1940</v>
      </c>
      <c r="AQ206" s="76"/>
      <c r="AR206" s="76"/>
      <c r="AS206" s="76"/>
      <c r="AT206" s="76"/>
      <c r="AU206" s="76"/>
      <c r="AV206" s="76"/>
      <c r="AW206" s="76">
        <v>1.61051649567882E+18</v>
      </c>
      <c r="AX206" s="76"/>
      <c r="AY206" s="76" t="b">
        <v>1</v>
      </c>
      <c r="AZ206" s="76"/>
      <c r="BA206" s="76"/>
      <c r="BB206" s="76" t="b">
        <v>1</v>
      </c>
      <c r="BC206" s="76" t="b">
        <v>0</v>
      </c>
      <c r="BD206" s="76" t="b">
        <v>1</v>
      </c>
      <c r="BE206" s="76" t="b">
        <v>0</v>
      </c>
      <c r="BF206" s="76" t="b">
        <v>1</v>
      </c>
      <c r="BG206" s="76" t="b">
        <v>0</v>
      </c>
      <c r="BH206" s="76" t="b">
        <v>0</v>
      </c>
      <c r="BI206" s="82" t="str">
        <f>HYPERLINK("https://pbs.twimg.com/profile_banners/41400048/1679023204")</f>
        <v>https://pbs.twimg.com/profile_banners/41400048/1679023204</v>
      </c>
      <c r="BJ206" s="76"/>
      <c r="BK206" s="76" t="s">
        <v>2092</v>
      </c>
      <c r="BL206" s="76" t="b">
        <v>0</v>
      </c>
      <c r="BM206" s="76"/>
      <c r="BN206" s="76" t="s">
        <v>65</v>
      </c>
      <c r="BO206" s="76" t="s">
        <v>2094</v>
      </c>
      <c r="BP206" s="82" t="str">
        <f>HYPERLINK("https://twitter.com/hunnybadgermom")</f>
        <v>https://twitter.com/hunnybadgermom</v>
      </c>
      <c r="BQ206" s="76" t="str">
        <f>REPLACE(INDEX(GroupVertices[Group],MATCH("~"&amp;Vertices[[#This Row],[Vertex]],GroupVertices[Vertex],0)),1,1,"")</f>
        <v>26</v>
      </c>
      <c r="BR206" s="45"/>
      <c r="BS206" s="46"/>
      <c r="BT206" s="45"/>
      <c r="BU206" s="46"/>
      <c r="BV206" s="45"/>
      <c r="BW206" s="46"/>
      <c r="BX206" s="45"/>
      <c r="BY206" s="46"/>
      <c r="BZ206" s="45"/>
      <c r="CA206" s="45"/>
      <c r="CB206" s="45"/>
      <c r="CC206" s="45"/>
      <c r="CD206" s="45"/>
      <c r="CE206" s="45"/>
      <c r="CF206" s="45"/>
      <c r="CG206" s="45"/>
      <c r="CH206" s="45"/>
      <c r="CI206" s="45"/>
      <c r="CJ206" s="45"/>
      <c r="CK206" s="2"/>
    </row>
    <row r="207" spans="1:89" ht="41.45" customHeight="1">
      <c r="A207" s="61" t="s">
        <v>332</v>
      </c>
      <c r="C207" s="62"/>
      <c r="D207" s="62" t="s">
        <v>64</v>
      </c>
      <c r="E207" s="63">
        <v>70</v>
      </c>
      <c r="F207" s="65"/>
      <c r="G207" s="101" t="str">
        <f>HYPERLINK("https://pbs.twimg.com/profile_images/1741148346184871936/MjV4muv3_normal.jpg")</f>
        <v>https://pbs.twimg.com/profile_images/1741148346184871936/MjV4muv3_normal.jpg</v>
      </c>
      <c r="H207" s="62"/>
      <c r="I207" s="66" t="s">
        <v>332</v>
      </c>
      <c r="J207" s="67"/>
      <c r="K207" s="67" t="s">
        <v>75</v>
      </c>
      <c r="L207" s="66" t="s">
        <v>2297</v>
      </c>
      <c r="M207" s="70">
        <v>1</v>
      </c>
      <c r="N207" s="71">
        <v>8321.72265625</v>
      </c>
      <c r="O207" s="71">
        <v>5144.39453125</v>
      </c>
      <c r="P207" s="72"/>
      <c r="Q207" s="73"/>
      <c r="R207" s="73"/>
      <c r="S207" s="87"/>
      <c r="T207" s="45">
        <v>0</v>
      </c>
      <c r="U207" s="45">
        <v>1</v>
      </c>
      <c r="V207" s="46">
        <v>0</v>
      </c>
      <c r="W207" s="46">
        <v>0.004695</v>
      </c>
      <c r="X207" s="46">
        <v>0</v>
      </c>
      <c r="Y207" s="46">
        <v>0.004673</v>
      </c>
      <c r="Z207" s="46">
        <v>0</v>
      </c>
      <c r="AA207" s="46">
        <v>0</v>
      </c>
      <c r="AB207" s="68">
        <v>206</v>
      </c>
      <c r="AC207" s="68"/>
      <c r="AD207" s="69"/>
      <c r="AE207" s="76" t="s">
        <v>1529</v>
      </c>
      <c r="AF207" s="80" t="s">
        <v>1637</v>
      </c>
      <c r="AG207" s="76">
        <v>844</v>
      </c>
      <c r="AH207" s="76">
        <v>1097</v>
      </c>
      <c r="AI207" s="76">
        <v>22290</v>
      </c>
      <c r="AJ207" s="76">
        <v>15</v>
      </c>
      <c r="AK207" s="76">
        <v>8494</v>
      </c>
      <c r="AL207" s="76">
        <v>3165</v>
      </c>
      <c r="AM207" s="76" t="b">
        <v>0</v>
      </c>
      <c r="AN207" s="78">
        <v>39722.470729166664</v>
      </c>
      <c r="AO207" s="76" t="s">
        <v>1744</v>
      </c>
      <c r="AP207" s="76" t="s">
        <v>1941</v>
      </c>
      <c r="AQ207" s="82" t="str">
        <f>HYPERLINK("https://t.co/r7ZDcf1Yuu")</f>
        <v>https://t.co/r7ZDcf1Yuu</v>
      </c>
      <c r="AR207" s="82" t="str">
        <f>HYPERLINK("http://instgram.com/kenwelcome")</f>
        <v>http://instgram.com/kenwelcome</v>
      </c>
      <c r="AS207" s="76" t="s">
        <v>2051</v>
      </c>
      <c r="AT207" s="76"/>
      <c r="AU207" s="76"/>
      <c r="AV207" s="76"/>
      <c r="AW207" s="76"/>
      <c r="AX207" s="82" t="str">
        <f>HYPERLINK("https://t.co/r7ZDcf1Yuu")</f>
        <v>https://t.co/r7ZDcf1Yuu</v>
      </c>
      <c r="AY207" s="76" t="b">
        <v>0</v>
      </c>
      <c r="AZ207" s="76"/>
      <c r="BA207" s="76"/>
      <c r="BB207" s="76" t="b">
        <v>1</v>
      </c>
      <c r="BC207" s="76" t="b">
        <v>0</v>
      </c>
      <c r="BD207" s="76" t="b">
        <v>0</v>
      </c>
      <c r="BE207" s="76" t="b">
        <v>0</v>
      </c>
      <c r="BF207" s="76" t="b">
        <v>1</v>
      </c>
      <c r="BG207" s="76" t="b">
        <v>0</v>
      </c>
      <c r="BH207" s="76" t="b">
        <v>0</v>
      </c>
      <c r="BI207" s="82" t="str">
        <f>HYPERLINK("https://pbs.twimg.com/profile_banners/16542604/1703959870")</f>
        <v>https://pbs.twimg.com/profile_banners/16542604/1703959870</v>
      </c>
      <c r="BJ207" s="76"/>
      <c r="BK207" s="76" t="s">
        <v>2092</v>
      </c>
      <c r="BL207" s="76" t="b">
        <v>0</v>
      </c>
      <c r="BM207" s="76"/>
      <c r="BN207" s="76" t="s">
        <v>66</v>
      </c>
      <c r="BO207" s="76" t="s">
        <v>2094</v>
      </c>
      <c r="BP207" s="82" t="str">
        <f>HYPERLINK("https://twitter.com/kenwelcome0001")</f>
        <v>https://twitter.com/kenwelcome0001</v>
      </c>
      <c r="BQ207" s="76" t="str">
        <f>REPLACE(INDEX(GroupVertices[Group],MATCH("~"&amp;Vertices[[#This Row],[Vertex]],GroupVertices[Vertex],0)),1,1,"")</f>
        <v>25</v>
      </c>
      <c r="BR207" s="45">
        <v>0</v>
      </c>
      <c r="BS207" s="46">
        <v>0</v>
      </c>
      <c r="BT207" s="45">
        <v>3</v>
      </c>
      <c r="BU207" s="46">
        <v>6.818181818181818</v>
      </c>
      <c r="BV207" s="45">
        <v>0</v>
      </c>
      <c r="BW207" s="46">
        <v>0</v>
      </c>
      <c r="BX207" s="45">
        <v>20</v>
      </c>
      <c r="BY207" s="46">
        <v>45.45454545454545</v>
      </c>
      <c r="BZ207" s="45">
        <v>44</v>
      </c>
      <c r="CA207" s="45"/>
      <c r="CB207" s="45"/>
      <c r="CC207" s="45"/>
      <c r="CD207" s="45"/>
      <c r="CE207" s="45"/>
      <c r="CF207" s="45"/>
      <c r="CG207" s="114" t="s">
        <v>11390</v>
      </c>
      <c r="CH207" s="114" t="s">
        <v>11390</v>
      </c>
      <c r="CI207" s="114" t="s">
        <v>11519</v>
      </c>
      <c r="CJ207" s="114" t="s">
        <v>11519</v>
      </c>
      <c r="CK207" s="2"/>
    </row>
    <row r="208" spans="1:89" ht="41.45" customHeight="1">
      <c r="A208" s="61" t="s">
        <v>432</v>
      </c>
      <c r="C208" s="62"/>
      <c r="D208" s="62" t="s">
        <v>64</v>
      </c>
      <c r="E208" s="63">
        <v>70</v>
      </c>
      <c r="F208" s="65"/>
      <c r="G208" s="101" t="str">
        <f>HYPERLINK("https://pbs.twimg.com/profile_images/1746063473694392320/nTMW1Zd7_normal.jpg")</f>
        <v>https://pbs.twimg.com/profile_images/1746063473694392320/nTMW1Zd7_normal.jpg</v>
      </c>
      <c r="H208" s="62"/>
      <c r="I208" s="66" t="s">
        <v>432</v>
      </c>
      <c r="J208" s="67"/>
      <c r="K208" s="67" t="s">
        <v>75</v>
      </c>
      <c r="L208" s="66" t="s">
        <v>2298</v>
      </c>
      <c r="M208" s="70">
        <v>2000.6</v>
      </c>
      <c r="N208" s="71">
        <v>8321.72265625</v>
      </c>
      <c r="O208" s="71">
        <v>4486.69873046875</v>
      </c>
      <c r="P208" s="72"/>
      <c r="Q208" s="73"/>
      <c r="R208" s="73"/>
      <c r="S208" s="87"/>
      <c r="T208" s="45">
        <v>1</v>
      </c>
      <c r="U208" s="45">
        <v>0</v>
      </c>
      <c r="V208" s="46">
        <v>0</v>
      </c>
      <c r="W208" s="46">
        <v>0.004695</v>
      </c>
      <c r="X208" s="46">
        <v>0</v>
      </c>
      <c r="Y208" s="46">
        <v>0.004673</v>
      </c>
      <c r="Z208" s="46">
        <v>0</v>
      </c>
      <c r="AA208" s="46">
        <v>0</v>
      </c>
      <c r="AB208" s="68">
        <v>207</v>
      </c>
      <c r="AC208" s="68"/>
      <c r="AD208" s="69"/>
      <c r="AE208" s="76" t="s">
        <v>1530</v>
      </c>
      <c r="AF208" s="80" t="s">
        <v>1205</v>
      </c>
      <c r="AG208" s="76">
        <v>130295</v>
      </c>
      <c r="AH208" s="76">
        <v>3389</v>
      </c>
      <c r="AI208" s="76">
        <v>79137</v>
      </c>
      <c r="AJ208" s="76">
        <v>591</v>
      </c>
      <c r="AK208" s="76">
        <v>338702</v>
      </c>
      <c r="AL208" s="76">
        <v>10699</v>
      </c>
      <c r="AM208" s="76" t="b">
        <v>0</v>
      </c>
      <c r="AN208" s="78">
        <v>43375.07270833333</v>
      </c>
      <c r="AO208" s="76" t="s">
        <v>1708</v>
      </c>
      <c r="AP208" s="76" t="s">
        <v>1942</v>
      </c>
      <c r="AQ208" s="82" t="str">
        <f>HYPERLINK("https://t.co/KZKSN9rYFJ")</f>
        <v>https://t.co/KZKSN9rYFJ</v>
      </c>
      <c r="AR208" s="82" t="str">
        <f>HYPERLINK("https://youtube.com/@olurinatti")</f>
        <v>https://youtube.com/@olurinatti</v>
      </c>
      <c r="AS208" s="76" t="s">
        <v>2052</v>
      </c>
      <c r="AT208" s="76"/>
      <c r="AU208" s="76"/>
      <c r="AV208" s="76"/>
      <c r="AW208" s="76">
        <v>1.58751337937124E+18</v>
      </c>
      <c r="AX208" s="82" t="str">
        <f>HYPERLINK("https://t.co/KZKSN9rYFJ")</f>
        <v>https://t.co/KZKSN9rYFJ</v>
      </c>
      <c r="AY208" s="76" t="b">
        <v>0</v>
      </c>
      <c r="AZ208" s="76"/>
      <c r="BA208" s="76"/>
      <c r="BB208" s="76" t="b">
        <v>0</v>
      </c>
      <c r="BC208" s="76" t="b">
        <v>0</v>
      </c>
      <c r="BD208" s="76" t="b">
        <v>1</v>
      </c>
      <c r="BE208" s="76" t="b">
        <v>0</v>
      </c>
      <c r="BF208" s="76" t="b">
        <v>1</v>
      </c>
      <c r="BG208" s="76" t="b">
        <v>0</v>
      </c>
      <c r="BH208" s="76" t="b">
        <v>0</v>
      </c>
      <c r="BI208" s="82" t="str">
        <f>HYPERLINK("https://pbs.twimg.com/profile_banners/1046938994766958592/1705128958")</f>
        <v>https://pbs.twimg.com/profile_banners/1046938994766958592/1705128958</v>
      </c>
      <c r="BJ208" s="76"/>
      <c r="BK208" s="76" t="s">
        <v>2092</v>
      </c>
      <c r="BL208" s="76" t="b">
        <v>0</v>
      </c>
      <c r="BM208" s="76"/>
      <c r="BN208" s="76" t="s">
        <v>65</v>
      </c>
      <c r="BO208" s="76" t="s">
        <v>2094</v>
      </c>
      <c r="BP208" s="82" t="str">
        <f>HYPERLINK("https://twitter.com/msolurin")</f>
        <v>https://twitter.com/msolurin</v>
      </c>
      <c r="BQ208" s="76" t="str">
        <f>REPLACE(INDEX(GroupVertices[Group],MATCH("~"&amp;Vertices[[#This Row],[Vertex]],GroupVertices[Vertex],0)),1,1,"")</f>
        <v>25</v>
      </c>
      <c r="BR208" s="45"/>
      <c r="BS208" s="46"/>
      <c r="BT208" s="45"/>
      <c r="BU208" s="46"/>
      <c r="BV208" s="45"/>
      <c r="BW208" s="46"/>
      <c r="BX208" s="45"/>
      <c r="BY208" s="46"/>
      <c r="BZ208" s="45"/>
      <c r="CA208" s="45"/>
      <c r="CB208" s="45"/>
      <c r="CC208" s="45"/>
      <c r="CD208" s="45"/>
      <c r="CE208" s="45"/>
      <c r="CF208" s="45"/>
      <c r="CG208" s="45"/>
      <c r="CH208" s="45"/>
      <c r="CI208" s="45"/>
      <c r="CJ208" s="45"/>
      <c r="CK208" s="2"/>
    </row>
    <row r="209" spans="1:89" ht="41.45" customHeight="1">
      <c r="A209" s="61" t="s">
        <v>333</v>
      </c>
      <c r="C209" s="62"/>
      <c r="D209" s="62" t="s">
        <v>64</v>
      </c>
      <c r="E209" s="63">
        <v>70</v>
      </c>
      <c r="F209" s="65"/>
      <c r="G209" s="101" t="str">
        <f>HYPERLINK("https://pbs.twimg.com/profile_images/1743760727331180544/4kh4luMw_normal.jpg")</f>
        <v>https://pbs.twimg.com/profile_images/1743760727331180544/4kh4luMw_normal.jpg</v>
      </c>
      <c r="H209" s="62"/>
      <c r="I209" s="66" t="s">
        <v>333</v>
      </c>
      <c r="J209" s="67"/>
      <c r="K209" s="67" t="s">
        <v>75</v>
      </c>
      <c r="L209" s="66" t="s">
        <v>2299</v>
      </c>
      <c r="M209" s="70">
        <v>2000.6</v>
      </c>
      <c r="N209" s="71">
        <v>691.3887329101562</v>
      </c>
      <c r="O209" s="71">
        <v>7680.68359375</v>
      </c>
      <c r="P209" s="72"/>
      <c r="Q209" s="73"/>
      <c r="R209" s="73"/>
      <c r="S209" s="87"/>
      <c r="T209" s="45">
        <v>1</v>
      </c>
      <c r="U209" s="45">
        <v>1</v>
      </c>
      <c r="V209" s="46">
        <v>0</v>
      </c>
      <c r="W209" s="46">
        <v>0</v>
      </c>
      <c r="X209" s="46">
        <v>0</v>
      </c>
      <c r="Y209" s="46">
        <v>0.004673</v>
      </c>
      <c r="Z209" s="46">
        <v>0</v>
      </c>
      <c r="AA209" s="46">
        <v>0</v>
      </c>
      <c r="AB209" s="68">
        <v>208</v>
      </c>
      <c r="AC209" s="68"/>
      <c r="AD209" s="69"/>
      <c r="AE209" s="76" t="s">
        <v>1531</v>
      </c>
      <c r="AF209" s="80" t="s">
        <v>1286</v>
      </c>
      <c r="AG209" s="76">
        <v>1498</v>
      </c>
      <c r="AH209" s="76">
        <v>4467</v>
      </c>
      <c r="AI209" s="76">
        <v>97888</v>
      </c>
      <c r="AJ209" s="76">
        <v>2</v>
      </c>
      <c r="AK209" s="76">
        <v>389432</v>
      </c>
      <c r="AL209" s="76">
        <v>3474</v>
      </c>
      <c r="AM209" s="76" t="b">
        <v>0</v>
      </c>
      <c r="AN209" s="78">
        <v>42847.16804398148</v>
      </c>
      <c r="AO209" s="76" t="s">
        <v>1658</v>
      </c>
      <c r="AP209" s="76" t="s">
        <v>1943</v>
      </c>
      <c r="AQ209" s="76"/>
      <c r="AR209" s="76"/>
      <c r="AS209" s="76"/>
      <c r="AT209" s="76"/>
      <c r="AU209" s="76"/>
      <c r="AV209" s="76"/>
      <c r="AW209" s="76"/>
      <c r="AX209" s="76"/>
      <c r="AY209" s="76" t="b">
        <v>0</v>
      </c>
      <c r="AZ209" s="76"/>
      <c r="BA209" s="76"/>
      <c r="BB209" s="76" t="b">
        <v>0</v>
      </c>
      <c r="BC209" s="76" t="b">
        <v>1</v>
      </c>
      <c r="BD209" s="76" t="b">
        <v>1</v>
      </c>
      <c r="BE209" s="76" t="b">
        <v>0</v>
      </c>
      <c r="BF209" s="76" t="b">
        <v>1</v>
      </c>
      <c r="BG209" s="76" t="b">
        <v>0</v>
      </c>
      <c r="BH209" s="76" t="b">
        <v>0</v>
      </c>
      <c r="BI209" s="82" t="str">
        <f>HYPERLINK("https://pbs.twimg.com/profile_banners/855632749905891328/1688725584")</f>
        <v>https://pbs.twimg.com/profile_banners/855632749905891328/1688725584</v>
      </c>
      <c r="BJ209" s="76"/>
      <c r="BK209" s="76" t="s">
        <v>2092</v>
      </c>
      <c r="BL209" s="76" t="b">
        <v>0</v>
      </c>
      <c r="BM209" s="76"/>
      <c r="BN209" s="76" t="s">
        <v>66</v>
      </c>
      <c r="BO209" s="76" t="s">
        <v>2094</v>
      </c>
      <c r="BP209" s="82" t="str">
        <f>HYPERLINK("https://twitter.com/smilinandy")</f>
        <v>https://twitter.com/smilinandy</v>
      </c>
      <c r="BQ209" s="76" t="str">
        <f>REPLACE(INDEX(GroupVertices[Group],MATCH("~"&amp;Vertices[[#This Row],[Vertex]],GroupVertices[Vertex],0)),1,1,"")</f>
        <v>1</v>
      </c>
      <c r="BR209" s="45">
        <v>0</v>
      </c>
      <c r="BS209" s="46">
        <v>0</v>
      </c>
      <c r="BT209" s="45">
        <v>1</v>
      </c>
      <c r="BU209" s="46">
        <v>10</v>
      </c>
      <c r="BV209" s="45">
        <v>0</v>
      </c>
      <c r="BW209" s="46">
        <v>0</v>
      </c>
      <c r="BX209" s="45">
        <v>8</v>
      </c>
      <c r="BY209" s="46">
        <v>80</v>
      </c>
      <c r="BZ209" s="45">
        <v>10</v>
      </c>
      <c r="CA209" s="45" t="s">
        <v>10988</v>
      </c>
      <c r="CB209" s="45" t="s">
        <v>10988</v>
      </c>
      <c r="CC209" s="45" t="s">
        <v>610</v>
      </c>
      <c r="CD209" s="45" t="s">
        <v>610</v>
      </c>
      <c r="CE209" s="45"/>
      <c r="CF209" s="45"/>
      <c r="CG209" s="114" t="s">
        <v>11391</v>
      </c>
      <c r="CH209" s="114" t="s">
        <v>11391</v>
      </c>
      <c r="CI209" s="114" t="s">
        <v>11520</v>
      </c>
      <c r="CJ209" s="114" t="s">
        <v>11520</v>
      </c>
      <c r="CK209" s="2"/>
    </row>
    <row r="210" spans="1:89" ht="41.45" customHeight="1">
      <c r="A210" s="61" t="s">
        <v>334</v>
      </c>
      <c r="C210" s="62"/>
      <c r="D210" s="62" t="s">
        <v>64</v>
      </c>
      <c r="E210" s="63">
        <v>70</v>
      </c>
      <c r="F210" s="65"/>
      <c r="G210" s="101" t="str">
        <f>HYPERLINK("https://pbs.twimg.com/profile_images/1653076172551651329/iKgmSKZh_normal.jpg")</f>
        <v>https://pbs.twimg.com/profile_images/1653076172551651329/iKgmSKZh_normal.jpg</v>
      </c>
      <c r="H210" s="62"/>
      <c r="I210" s="66" t="s">
        <v>334</v>
      </c>
      <c r="J210" s="67"/>
      <c r="K210" s="67" t="s">
        <v>75</v>
      </c>
      <c r="L210" s="66" t="s">
        <v>2300</v>
      </c>
      <c r="M210" s="70">
        <v>2000.6</v>
      </c>
      <c r="N210" s="71">
        <v>1134.3516845703125</v>
      </c>
      <c r="O210" s="71">
        <v>7680.68359375</v>
      </c>
      <c r="P210" s="72"/>
      <c r="Q210" s="73"/>
      <c r="R210" s="73"/>
      <c r="S210" s="87"/>
      <c r="T210" s="45">
        <v>1</v>
      </c>
      <c r="U210" s="45">
        <v>1</v>
      </c>
      <c r="V210" s="46">
        <v>0</v>
      </c>
      <c r="W210" s="46">
        <v>0</v>
      </c>
      <c r="X210" s="46">
        <v>0</v>
      </c>
      <c r="Y210" s="46">
        <v>0.004673</v>
      </c>
      <c r="Z210" s="46">
        <v>0</v>
      </c>
      <c r="AA210" s="46">
        <v>0</v>
      </c>
      <c r="AB210" s="68">
        <v>209</v>
      </c>
      <c r="AC210" s="68"/>
      <c r="AD210" s="69"/>
      <c r="AE210" s="76" t="s">
        <v>1532</v>
      </c>
      <c r="AF210" s="80" t="s">
        <v>1638</v>
      </c>
      <c r="AG210" s="76">
        <v>954</v>
      </c>
      <c r="AH210" s="76">
        <v>891</v>
      </c>
      <c r="AI210" s="76">
        <v>67238</v>
      </c>
      <c r="AJ210" s="76">
        <v>30</v>
      </c>
      <c r="AK210" s="76">
        <v>140783</v>
      </c>
      <c r="AL210" s="76">
        <v>8746</v>
      </c>
      <c r="AM210" s="76" t="b">
        <v>0</v>
      </c>
      <c r="AN210" s="78">
        <v>42092.058541666665</v>
      </c>
      <c r="AO210" s="76" t="s">
        <v>852</v>
      </c>
      <c r="AP210" s="76" t="s">
        <v>1944</v>
      </c>
      <c r="AQ210" s="76"/>
      <c r="AR210" s="76"/>
      <c r="AS210" s="76"/>
      <c r="AT210" s="76"/>
      <c r="AU210" s="76"/>
      <c r="AV210" s="76"/>
      <c r="AW210" s="76"/>
      <c r="AX210" s="76"/>
      <c r="AY210" s="76" t="b">
        <v>0</v>
      </c>
      <c r="AZ210" s="76"/>
      <c r="BA210" s="76"/>
      <c r="BB210" s="76" t="b">
        <v>1</v>
      </c>
      <c r="BC210" s="76" t="b">
        <v>0</v>
      </c>
      <c r="BD210" s="76" t="b">
        <v>1</v>
      </c>
      <c r="BE210" s="76" t="b">
        <v>0</v>
      </c>
      <c r="BF210" s="76" t="b">
        <v>1</v>
      </c>
      <c r="BG210" s="76" t="b">
        <v>0</v>
      </c>
      <c r="BH210" s="76" t="b">
        <v>0</v>
      </c>
      <c r="BI210" s="82" t="str">
        <f>HYPERLINK("https://pbs.twimg.com/profile_banners/3114063950/1682959783")</f>
        <v>https://pbs.twimg.com/profile_banners/3114063950/1682959783</v>
      </c>
      <c r="BJ210" s="76"/>
      <c r="BK210" s="76" t="s">
        <v>2092</v>
      </c>
      <c r="BL210" s="76" t="b">
        <v>0</v>
      </c>
      <c r="BM210" s="76"/>
      <c r="BN210" s="76" t="s">
        <v>66</v>
      </c>
      <c r="BO210" s="76" t="s">
        <v>2094</v>
      </c>
      <c r="BP210" s="82" t="str">
        <f>HYPERLINK("https://twitter.com/wintheday848")</f>
        <v>https://twitter.com/wintheday848</v>
      </c>
      <c r="BQ210" s="76" t="str">
        <f>REPLACE(INDEX(GroupVertices[Group],MATCH("~"&amp;Vertices[[#This Row],[Vertex]],GroupVertices[Vertex],0)),1,1,"")</f>
        <v>1</v>
      </c>
      <c r="BR210" s="45">
        <v>0</v>
      </c>
      <c r="BS210" s="46">
        <v>0</v>
      </c>
      <c r="BT210" s="45">
        <v>1</v>
      </c>
      <c r="BU210" s="46">
        <v>4</v>
      </c>
      <c r="BV210" s="45">
        <v>0</v>
      </c>
      <c r="BW210" s="46">
        <v>0</v>
      </c>
      <c r="BX210" s="45">
        <v>8</v>
      </c>
      <c r="BY210" s="46">
        <v>32</v>
      </c>
      <c r="BZ210" s="45">
        <v>25</v>
      </c>
      <c r="CA210" s="45"/>
      <c r="CB210" s="45"/>
      <c r="CC210" s="45"/>
      <c r="CD210" s="45"/>
      <c r="CE210" s="45"/>
      <c r="CF210" s="45"/>
      <c r="CG210" s="114" t="s">
        <v>11392</v>
      </c>
      <c r="CH210" s="114" t="s">
        <v>11392</v>
      </c>
      <c r="CI210" s="114" t="s">
        <v>11521</v>
      </c>
      <c r="CJ210" s="114" t="s">
        <v>11521</v>
      </c>
      <c r="CK210" s="2"/>
    </row>
    <row r="211" spans="1:89" ht="41.45" customHeight="1">
      <c r="A211" s="61" t="s">
        <v>335</v>
      </c>
      <c r="C211" s="62"/>
      <c r="D211" s="62" t="s">
        <v>64</v>
      </c>
      <c r="E211" s="63">
        <v>70</v>
      </c>
      <c r="F211" s="65"/>
      <c r="G211" s="101" t="str">
        <f>HYPERLINK("https://pbs.twimg.com/profile_images/1519076253948514304/cGzuNsOd_normal.jpg")</f>
        <v>https://pbs.twimg.com/profile_images/1519076253948514304/cGzuNsOd_normal.jpg</v>
      </c>
      <c r="H211" s="62"/>
      <c r="I211" s="66" t="s">
        <v>335</v>
      </c>
      <c r="J211" s="67"/>
      <c r="K211" s="67" t="s">
        <v>75</v>
      </c>
      <c r="L211" s="66" t="s">
        <v>2301</v>
      </c>
      <c r="M211" s="70">
        <v>4000.2</v>
      </c>
      <c r="N211" s="71">
        <v>8987.244140625</v>
      </c>
      <c r="O211" s="71">
        <v>4486.69873046875</v>
      </c>
      <c r="P211" s="72"/>
      <c r="Q211" s="73"/>
      <c r="R211" s="73"/>
      <c r="S211" s="87"/>
      <c r="T211" s="45">
        <v>2</v>
      </c>
      <c r="U211" s="45">
        <v>1</v>
      </c>
      <c r="V211" s="46">
        <v>0</v>
      </c>
      <c r="W211" s="46">
        <v>0.004695</v>
      </c>
      <c r="X211" s="46">
        <v>0</v>
      </c>
      <c r="Y211" s="46">
        <v>0.004673</v>
      </c>
      <c r="Z211" s="46">
        <v>0</v>
      </c>
      <c r="AA211" s="46">
        <v>0</v>
      </c>
      <c r="AB211" s="68">
        <v>210</v>
      </c>
      <c r="AC211" s="68"/>
      <c r="AD211" s="69"/>
      <c r="AE211" s="76" t="s">
        <v>1533</v>
      </c>
      <c r="AF211" s="80" t="s">
        <v>1639</v>
      </c>
      <c r="AG211" s="76">
        <v>284404</v>
      </c>
      <c r="AH211" s="76">
        <v>809</v>
      </c>
      <c r="AI211" s="76">
        <v>239088</v>
      </c>
      <c r="AJ211" s="76">
        <v>1992</v>
      </c>
      <c r="AK211" s="76">
        <v>2485</v>
      </c>
      <c r="AL211" s="76">
        <v>97099</v>
      </c>
      <c r="AM211" s="76" t="b">
        <v>0</v>
      </c>
      <c r="AN211" s="78">
        <v>39652.625023148146</v>
      </c>
      <c r="AO211" s="76" t="s">
        <v>861</v>
      </c>
      <c r="AP211" s="76" t="s">
        <v>1945</v>
      </c>
      <c r="AQ211" s="82" t="str">
        <f>HYPERLINK("https://t.co/G1b9NsVA6e")</f>
        <v>https://t.co/G1b9NsVA6e</v>
      </c>
      <c r="AR211" s="82" t="str">
        <f>HYPERLINK("https://linktr.ee/fox12oregon")</f>
        <v>https://linktr.ee/fox12oregon</v>
      </c>
      <c r="AS211" s="76" t="s">
        <v>2053</v>
      </c>
      <c r="AT211" s="82" t="str">
        <f>HYPERLINK("https://t.co/noYS4udjOQ")</f>
        <v>https://t.co/noYS4udjOQ</v>
      </c>
      <c r="AU211" s="82" t="str">
        <f>HYPERLINK("http://kptv.com/live/")</f>
        <v>http://kptv.com/live/</v>
      </c>
      <c r="AV211" s="76" t="s">
        <v>2089</v>
      </c>
      <c r="AW211" s="76"/>
      <c r="AX211" s="82" t="str">
        <f>HYPERLINK("https://t.co/G1b9NsVA6e")</f>
        <v>https://t.co/G1b9NsVA6e</v>
      </c>
      <c r="AY211" s="76" t="b">
        <v>0</v>
      </c>
      <c r="AZ211" s="76"/>
      <c r="BA211" s="76"/>
      <c r="BB211" s="76" t="b">
        <v>0</v>
      </c>
      <c r="BC211" s="76" t="b">
        <v>1</v>
      </c>
      <c r="BD211" s="76" t="b">
        <v>0</v>
      </c>
      <c r="BE211" s="76" t="b">
        <v>0</v>
      </c>
      <c r="BF211" s="76" t="b">
        <v>1</v>
      </c>
      <c r="BG211" s="76" t="b">
        <v>0</v>
      </c>
      <c r="BH211" s="76" t="b">
        <v>0</v>
      </c>
      <c r="BI211" s="82" t="str">
        <f>HYPERLINK("https://pbs.twimg.com/profile_banners/15564045/1699559564")</f>
        <v>https://pbs.twimg.com/profile_banners/15564045/1699559564</v>
      </c>
      <c r="BJ211" s="76"/>
      <c r="BK211" s="76" t="s">
        <v>2092</v>
      </c>
      <c r="BL211" s="76" t="b">
        <v>0</v>
      </c>
      <c r="BM211" s="76"/>
      <c r="BN211" s="76" t="s">
        <v>66</v>
      </c>
      <c r="BO211" s="76" t="s">
        <v>2094</v>
      </c>
      <c r="BP211" s="82" t="str">
        <f>HYPERLINK("https://twitter.com/fox12oregon")</f>
        <v>https://twitter.com/fox12oregon</v>
      </c>
      <c r="BQ211" s="76" t="str">
        <f>REPLACE(INDEX(GroupVertices[Group],MATCH("~"&amp;Vertices[[#This Row],[Vertex]],GroupVertices[Vertex],0)),1,1,"")</f>
        <v>24</v>
      </c>
      <c r="BR211" s="45">
        <v>0</v>
      </c>
      <c r="BS211" s="46">
        <v>0</v>
      </c>
      <c r="BT211" s="45">
        <v>2</v>
      </c>
      <c r="BU211" s="46">
        <v>11.11111111111111</v>
      </c>
      <c r="BV211" s="45">
        <v>0</v>
      </c>
      <c r="BW211" s="46">
        <v>0</v>
      </c>
      <c r="BX211" s="45">
        <v>11</v>
      </c>
      <c r="BY211" s="46">
        <v>61.111111111111114</v>
      </c>
      <c r="BZ211" s="45">
        <v>18</v>
      </c>
      <c r="CA211" s="45" t="s">
        <v>10987</v>
      </c>
      <c r="CB211" s="45" t="s">
        <v>10987</v>
      </c>
      <c r="CC211" s="45" t="s">
        <v>619</v>
      </c>
      <c r="CD211" s="45" t="s">
        <v>619</v>
      </c>
      <c r="CE211" s="45"/>
      <c r="CF211" s="45"/>
      <c r="CG211" s="114" t="s">
        <v>11393</v>
      </c>
      <c r="CH211" s="114" t="s">
        <v>11393</v>
      </c>
      <c r="CI211" s="114" t="s">
        <v>11522</v>
      </c>
      <c r="CJ211" s="114" t="s">
        <v>11522</v>
      </c>
      <c r="CK211" s="2"/>
    </row>
    <row r="212" spans="1:89" ht="41.45" customHeight="1">
      <c r="A212" s="61" t="s">
        <v>336</v>
      </c>
      <c r="C212" s="62"/>
      <c r="D212" s="62" t="s">
        <v>64</v>
      </c>
      <c r="E212" s="63">
        <v>70</v>
      </c>
      <c r="F212" s="65"/>
      <c r="G212" s="101" t="str">
        <f>HYPERLINK("https://pbs.twimg.com/profile_images/1449016357652078592/67q4vPNc_normal.jpg")</f>
        <v>https://pbs.twimg.com/profile_images/1449016357652078592/67q4vPNc_normal.jpg</v>
      </c>
      <c r="H212" s="62"/>
      <c r="I212" s="66" t="s">
        <v>336</v>
      </c>
      <c r="J212" s="67"/>
      <c r="K212" s="67" t="s">
        <v>75</v>
      </c>
      <c r="L212" s="66" t="s">
        <v>2302</v>
      </c>
      <c r="M212" s="70">
        <v>2000.6</v>
      </c>
      <c r="N212" s="71">
        <v>8987.244140625</v>
      </c>
      <c r="O212" s="71">
        <v>5144.39453125</v>
      </c>
      <c r="P212" s="72"/>
      <c r="Q212" s="73"/>
      <c r="R212" s="73"/>
      <c r="S212" s="87"/>
      <c r="T212" s="45">
        <v>1</v>
      </c>
      <c r="U212" s="45">
        <v>2</v>
      </c>
      <c r="V212" s="46">
        <v>0</v>
      </c>
      <c r="W212" s="46">
        <v>0.004695</v>
      </c>
      <c r="X212" s="46">
        <v>0</v>
      </c>
      <c r="Y212" s="46">
        <v>0.004673</v>
      </c>
      <c r="Z212" s="46">
        <v>0</v>
      </c>
      <c r="AA212" s="46">
        <v>0</v>
      </c>
      <c r="AB212" s="68">
        <v>211</v>
      </c>
      <c r="AC212" s="68"/>
      <c r="AD212" s="69"/>
      <c r="AE212" s="76" t="s">
        <v>1534</v>
      </c>
      <c r="AF212" s="80" t="s">
        <v>1287</v>
      </c>
      <c r="AG212" s="76">
        <v>1934</v>
      </c>
      <c r="AH212" s="76">
        <v>337</v>
      </c>
      <c r="AI212" s="76">
        <v>1366</v>
      </c>
      <c r="AJ212" s="76">
        <v>27</v>
      </c>
      <c r="AK212" s="76">
        <v>1866</v>
      </c>
      <c r="AL212" s="76">
        <v>299</v>
      </c>
      <c r="AM212" s="76" t="b">
        <v>0</v>
      </c>
      <c r="AN212" s="78">
        <v>44434.59717592593</v>
      </c>
      <c r="AO212" s="76" t="s">
        <v>852</v>
      </c>
      <c r="AP212" s="76" t="s">
        <v>1946</v>
      </c>
      <c r="AQ212" s="82" t="str">
        <f>HYPERLINK("https://t.co/a4IbFpSMP5")</f>
        <v>https://t.co/a4IbFpSMP5</v>
      </c>
      <c r="AR212" s="82" t="str">
        <f>HYPERLINK("https://www.facebook.com/Mia-Villanueva-Fox12-Oregon-100109195825083")</f>
        <v>https://www.facebook.com/Mia-Villanueva-Fox12-Oregon-100109195825083</v>
      </c>
      <c r="AS212" s="76" t="s">
        <v>2054</v>
      </c>
      <c r="AT212" s="76"/>
      <c r="AU212" s="76"/>
      <c r="AV212" s="76"/>
      <c r="AW212" s="76"/>
      <c r="AX212" s="82" t="str">
        <f>HYPERLINK("https://t.co/a4IbFpSMP5")</f>
        <v>https://t.co/a4IbFpSMP5</v>
      </c>
      <c r="AY212" s="76" t="b">
        <v>0</v>
      </c>
      <c r="AZ212" s="76"/>
      <c r="BA212" s="76"/>
      <c r="BB212" s="76" t="b">
        <v>1</v>
      </c>
      <c r="BC212" s="76" t="b">
        <v>1</v>
      </c>
      <c r="BD212" s="76" t="b">
        <v>1</v>
      </c>
      <c r="BE212" s="76" t="b">
        <v>0</v>
      </c>
      <c r="BF212" s="76" t="b">
        <v>1</v>
      </c>
      <c r="BG212" s="76" t="b">
        <v>0</v>
      </c>
      <c r="BH212" s="76" t="b">
        <v>0</v>
      </c>
      <c r="BI212" s="82" t="str">
        <f>HYPERLINK("https://pbs.twimg.com/profile_banners/1430897772761214976/1630810719")</f>
        <v>https://pbs.twimg.com/profile_banners/1430897772761214976/1630810719</v>
      </c>
      <c r="BJ212" s="76"/>
      <c r="BK212" s="76" t="s">
        <v>2092</v>
      </c>
      <c r="BL212" s="76" t="b">
        <v>0</v>
      </c>
      <c r="BM212" s="76"/>
      <c r="BN212" s="76" t="s">
        <v>66</v>
      </c>
      <c r="BO212" s="76" t="s">
        <v>2094</v>
      </c>
      <c r="BP212" s="82" t="str">
        <f>HYPERLINK("https://twitter.com/miavtv")</f>
        <v>https://twitter.com/miavtv</v>
      </c>
      <c r="BQ212" s="76" t="str">
        <f>REPLACE(INDEX(GroupVertices[Group],MATCH("~"&amp;Vertices[[#This Row],[Vertex]],GroupVertices[Vertex],0)),1,1,"")</f>
        <v>24</v>
      </c>
      <c r="BR212" s="45">
        <v>0</v>
      </c>
      <c r="BS212" s="46">
        <v>0</v>
      </c>
      <c r="BT212" s="45">
        <v>6</v>
      </c>
      <c r="BU212" s="46">
        <v>8.955223880597014</v>
      </c>
      <c r="BV212" s="45">
        <v>0</v>
      </c>
      <c r="BW212" s="46">
        <v>0</v>
      </c>
      <c r="BX212" s="45">
        <v>38</v>
      </c>
      <c r="BY212" s="46">
        <v>56.71641791044776</v>
      </c>
      <c r="BZ212" s="45">
        <v>67</v>
      </c>
      <c r="CA212" s="45"/>
      <c r="CB212" s="45"/>
      <c r="CC212" s="45"/>
      <c r="CD212" s="45"/>
      <c r="CE212" s="45"/>
      <c r="CF212" s="45"/>
      <c r="CG212" s="114" t="s">
        <v>11394</v>
      </c>
      <c r="CH212" s="114" t="s">
        <v>11407</v>
      </c>
      <c r="CI212" s="114" t="s">
        <v>11523</v>
      </c>
      <c r="CJ212" s="114" t="s">
        <v>11523</v>
      </c>
      <c r="CK212" s="2"/>
    </row>
    <row r="213" spans="1:89" ht="41.45" customHeight="1">
      <c r="A213" s="61" t="s">
        <v>337</v>
      </c>
      <c r="C213" s="62"/>
      <c r="D213" s="62" t="s">
        <v>64</v>
      </c>
      <c r="E213" s="63">
        <v>70</v>
      </c>
      <c r="F213" s="65"/>
      <c r="G213" s="101" t="str">
        <f>HYPERLINK("https://pbs.twimg.com/profile_images/1086878175076872192/csiEd6v6_normal.jpg")</f>
        <v>https://pbs.twimg.com/profile_images/1086878175076872192/csiEd6v6_normal.jpg</v>
      </c>
      <c r="H213" s="62"/>
      <c r="I213" s="66" t="s">
        <v>337</v>
      </c>
      <c r="J213" s="67"/>
      <c r="K213" s="67" t="s">
        <v>75</v>
      </c>
      <c r="L213" s="66" t="s">
        <v>2303</v>
      </c>
      <c r="M213" s="70">
        <v>1</v>
      </c>
      <c r="N213" s="71">
        <v>26.9442195892334</v>
      </c>
      <c r="O213" s="71">
        <v>1934.6173095703125</v>
      </c>
      <c r="P213" s="72"/>
      <c r="Q213" s="73"/>
      <c r="R213" s="73"/>
      <c r="S213" s="87"/>
      <c r="T213" s="45">
        <v>0</v>
      </c>
      <c r="U213" s="45">
        <v>1</v>
      </c>
      <c r="V213" s="46">
        <v>0</v>
      </c>
      <c r="W213" s="46">
        <v>0.016901</v>
      </c>
      <c r="X213" s="46">
        <v>0</v>
      </c>
      <c r="Y213" s="46">
        <v>0.004166</v>
      </c>
      <c r="Z213" s="46">
        <v>0</v>
      </c>
      <c r="AA213" s="46">
        <v>0</v>
      </c>
      <c r="AB213" s="68">
        <v>212</v>
      </c>
      <c r="AC213" s="68"/>
      <c r="AD213" s="69"/>
      <c r="AE213" s="76" t="s">
        <v>1535</v>
      </c>
      <c r="AF213" s="80" t="s">
        <v>1640</v>
      </c>
      <c r="AG213" s="76">
        <v>140</v>
      </c>
      <c r="AH213" s="76">
        <v>541</v>
      </c>
      <c r="AI213" s="76">
        <v>2643</v>
      </c>
      <c r="AJ213" s="76">
        <v>4</v>
      </c>
      <c r="AK213" s="76">
        <v>5250</v>
      </c>
      <c r="AL213" s="76">
        <v>462</v>
      </c>
      <c r="AM213" s="76" t="b">
        <v>0</v>
      </c>
      <c r="AN213" s="78">
        <v>39930.74217592592</v>
      </c>
      <c r="AO213" s="76" t="s">
        <v>1745</v>
      </c>
      <c r="AP213" s="76" t="s">
        <v>1947</v>
      </c>
      <c r="AQ213" s="76"/>
      <c r="AR213" s="76"/>
      <c r="AS213" s="76"/>
      <c r="AT213" s="76"/>
      <c r="AU213" s="76"/>
      <c r="AV213" s="76"/>
      <c r="AW213" s="76"/>
      <c r="AX213" s="76"/>
      <c r="AY213" s="76" t="b">
        <v>0</v>
      </c>
      <c r="AZ213" s="76"/>
      <c r="BA213" s="76"/>
      <c r="BB213" s="76" t="b">
        <v>0</v>
      </c>
      <c r="BC213" s="76" t="b">
        <v>1</v>
      </c>
      <c r="BD213" s="76" t="b">
        <v>1</v>
      </c>
      <c r="BE213" s="76" t="b">
        <v>0</v>
      </c>
      <c r="BF213" s="76" t="b">
        <v>0</v>
      </c>
      <c r="BG213" s="76" t="b">
        <v>0</v>
      </c>
      <c r="BH213" s="76" t="b">
        <v>0</v>
      </c>
      <c r="BI213" s="82" t="str">
        <f>HYPERLINK("https://pbs.twimg.com/profile_banners/35806364/1547967047")</f>
        <v>https://pbs.twimg.com/profile_banners/35806364/1547967047</v>
      </c>
      <c r="BJ213" s="76"/>
      <c r="BK213" s="76" t="s">
        <v>2092</v>
      </c>
      <c r="BL213" s="76" t="b">
        <v>0</v>
      </c>
      <c r="BM213" s="76"/>
      <c r="BN213" s="76" t="s">
        <v>66</v>
      </c>
      <c r="BO213" s="76" t="s">
        <v>2094</v>
      </c>
      <c r="BP213" s="82" t="str">
        <f>HYPERLINK("https://twitter.com/kavanah613")</f>
        <v>https://twitter.com/kavanah613</v>
      </c>
      <c r="BQ213" s="76" t="str">
        <f>REPLACE(INDEX(GroupVertices[Group],MATCH("~"&amp;Vertices[[#This Row],[Vertex]],GroupVertices[Vertex],0)),1,1,"")</f>
        <v>2</v>
      </c>
      <c r="BR213" s="45">
        <v>1</v>
      </c>
      <c r="BS213" s="46">
        <v>3.225806451612903</v>
      </c>
      <c r="BT213" s="45">
        <v>1</v>
      </c>
      <c r="BU213" s="46">
        <v>3.225806451612903</v>
      </c>
      <c r="BV213" s="45">
        <v>0</v>
      </c>
      <c r="BW213" s="46">
        <v>0</v>
      </c>
      <c r="BX213" s="45">
        <v>14</v>
      </c>
      <c r="BY213" s="46">
        <v>45.16129032258065</v>
      </c>
      <c r="BZ213" s="45">
        <v>31</v>
      </c>
      <c r="CA213" s="45"/>
      <c r="CB213" s="45"/>
      <c r="CC213" s="45"/>
      <c r="CD213" s="45"/>
      <c r="CE213" s="45" t="s">
        <v>596</v>
      </c>
      <c r="CF213" s="45" t="s">
        <v>597</v>
      </c>
      <c r="CG213" s="114" t="s">
        <v>11395</v>
      </c>
      <c r="CH213" s="114" t="s">
        <v>11395</v>
      </c>
      <c r="CI213" s="114" t="s">
        <v>11524</v>
      </c>
      <c r="CJ213" s="114" t="s">
        <v>11524</v>
      </c>
      <c r="CK213" s="2"/>
    </row>
    <row r="214" spans="1:89" ht="41.45" customHeight="1">
      <c r="A214" s="61" t="s">
        <v>433</v>
      </c>
      <c r="C214" s="62"/>
      <c r="D214" s="62" t="s">
        <v>64</v>
      </c>
      <c r="E214" s="63">
        <v>70</v>
      </c>
      <c r="F214" s="65"/>
      <c r="G214" s="101" t="str">
        <f>HYPERLINK("https://pbs.twimg.com/profile_images/1089335211421302784/SWVjwzZE_normal.jpg")</f>
        <v>https://pbs.twimg.com/profile_images/1089335211421302784/SWVjwzZE_normal.jpg</v>
      </c>
      <c r="H214" s="62"/>
      <c r="I214" s="66" t="s">
        <v>433</v>
      </c>
      <c r="J214" s="67"/>
      <c r="K214" s="67" t="s">
        <v>75</v>
      </c>
      <c r="L214" s="66" t="s">
        <v>2305</v>
      </c>
      <c r="M214" s="70">
        <v>2000.6</v>
      </c>
      <c r="N214" s="71">
        <v>4437.712890625</v>
      </c>
      <c r="O214" s="71">
        <v>50.39818572998047</v>
      </c>
      <c r="P214" s="72"/>
      <c r="Q214" s="73"/>
      <c r="R214" s="73"/>
      <c r="S214" s="87"/>
      <c r="T214" s="45">
        <v>1</v>
      </c>
      <c r="U214" s="45">
        <v>0</v>
      </c>
      <c r="V214" s="46">
        <v>0</v>
      </c>
      <c r="W214" s="46">
        <v>0.008451</v>
      </c>
      <c r="X214" s="46">
        <v>0</v>
      </c>
      <c r="Y214" s="46">
        <v>0.004267</v>
      </c>
      <c r="Z214" s="46">
        <v>0</v>
      </c>
      <c r="AA214" s="46">
        <v>0</v>
      </c>
      <c r="AB214" s="68">
        <v>214</v>
      </c>
      <c r="AC214" s="68"/>
      <c r="AD214" s="69"/>
      <c r="AE214" s="76" t="s">
        <v>1536</v>
      </c>
      <c r="AF214" s="80" t="s">
        <v>1642</v>
      </c>
      <c r="AG214" s="76">
        <v>99929</v>
      </c>
      <c r="AH214" s="76">
        <v>3257</v>
      </c>
      <c r="AI214" s="76">
        <v>47979</v>
      </c>
      <c r="AJ214" s="76">
        <v>1960</v>
      </c>
      <c r="AK214" s="76">
        <v>2565</v>
      </c>
      <c r="AL214" s="76">
        <v>155</v>
      </c>
      <c r="AM214" s="76" t="b">
        <v>0</v>
      </c>
      <c r="AN214" s="78">
        <v>40605.985613425924</v>
      </c>
      <c r="AO214" s="76"/>
      <c r="AP214" s="76" t="s">
        <v>1949</v>
      </c>
      <c r="AQ214" s="82" t="str">
        <f>HYPERLINK("https://t.co/SWAbdabZpv")</f>
        <v>https://t.co/SWAbdabZpv</v>
      </c>
      <c r="AR214" s="82" t="str">
        <f>HYPERLINK("https://www.nytimes.com/newsletters/david-wallace-wells")</f>
        <v>https://www.nytimes.com/newsletters/david-wallace-wells</v>
      </c>
      <c r="AS214" s="76" t="s">
        <v>2055</v>
      </c>
      <c r="AT214" s="82" t="str">
        <f>HYPERLINK("https://t.co/CPCd2nw3Kx")</f>
        <v>https://t.co/CPCd2nw3Kx</v>
      </c>
      <c r="AU214" s="82" t="str">
        <f>HYPERLINK("https://tinyurl.com/dwwnyt")</f>
        <v>https://tinyurl.com/dwwnyt</v>
      </c>
      <c r="AV214" s="76" t="s">
        <v>2090</v>
      </c>
      <c r="AW214" s="76">
        <v>1.08305988978885E+18</v>
      </c>
      <c r="AX214" s="82" t="str">
        <f>HYPERLINK("https://t.co/SWAbdabZpv")</f>
        <v>https://t.co/SWAbdabZpv</v>
      </c>
      <c r="AY214" s="76" t="b">
        <v>0</v>
      </c>
      <c r="AZ214" s="76"/>
      <c r="BA214" s="76"/>
      <c r="BB214" s="76" t="b">
        <v>1</v>
      </c>
      <c r="BC214" s="76" t="b">
        <v>1</v>
      </c>
      <c r="BD214" s="76" t="b">
        <v>1</v>
      </c>
      <c r="BE214" s="76" t="b">
        <v>0</v>
      </c>
      <c r="BF214" s="76" t="b">
        <v>1</v>
      </c>
      <c r="BG214" s="76" t="b">
        <v>0</v>
      </c>
      <c r="BH214" s="76" t="b">
        <v>0</v>
      </c>
      <c r="BI214" s="82" t="str">
        <f>HYPERLINK("https://pbs.twimg.com/profile_banners/260478229/1550417133")</f>
        <v>https://pbs.twimg.com/profile_banners/260478229/1550417133</v>
      </c>
      <c r="BJ214" s="76"/>
      <c r="BK214" s="76" t="s">
        <v>2092</v>
      </c>
      <c r="BL214" s="76" t="b">
        <v>0</v>
      </c>
      <c r="BM214" s="76"/>
      <c r="BN214" s="76" t="s">
        <v>65</v>
      </c>
      <c r="BO214" s="76" t="s">
        <v>2094</v>
      </c>
      <c r="BP214" s="82" t="str">
        <f>HYPERLINK("https://twitter.com/dwallacewells")</f>
        <v>https://twitter.com/dwallacewells</v>
      </c>
      <c r="BQ214" s="76" t="str">
        <f>REPLACE(INDEX(GroupVertices[Group],MATCH("~"&amp;Vertices[[#This Row],[Vertex]],GroupVertices[Vertex],0)),1,1,"")</f>
        <v>8</v>
      </c>
      <c r="BR214" s="45"/>
      <c r="BS214" s="46"/>
      <c r="BT214" s="45"/>
      <c r="BU214" s="46"/>
      <c r="BV214" s="45"/>
      <c r="BW214" s="46"/>
      <c r="BX214" s="45"/>
      <c r="BY214" s="46"/>
      <c r="BZ214" s="45"/>
      <c r="CA214" s="45"/>
      <c r="CB214" s="45"/>
      <c r="CC214" s="45"/>
      <c r="CD214" s="45"/>
      <c r="CE214" s="45"/>
      <c r="CF214" s="45"/>
      <c r="CG214" s="45"/>
      <c r="CH214" s="45"/>
      <c r="CI214" s="45"/>
      <c r="CJ214" s="45"/>
      <c r="CK214" s="2"/>
    </row>
    <row r="215" spans="1:89" ht="41.45" customHeight="1">
      <c r="A215" s="61" t="s">
        <v>434</v>
      </c>
      <c r="C215" s="62"/>
      <c r="D215" s="62" t="s">
        <v>64</v>
      </c>
      <c r="E215" s="63">
        <v>70</v>
      </c>
      <c r="F215" s="65"/>
      <c r="G215" s="101" t="str">
        <f>HYPERLINK("https://pbs.twimg.com/profile_images/1559532425977511940/tlzMv2_Q_normal.jpg")</f>
        <v>https://pbs.twimg.com/profile_images/1559532425977511940/tlzMv2_Q_normal.jpg</v>
      </c>
      <c r="H215" s="62"/>
      <c r="I215" s="66" t="s">
        <v>434</v>
      </c>
      <c r="J215" s="67"/>
      <c r="K215" s="67" t="s">
        <v>75</v>
      </c>
      <c r="L215" s="66" t="s">
        <v>2306</v>
      </c>
      <c r="M215" s="70">
        <v>2000.6</v>
      </c>
      <c r="N215" s="71">
        <v>3411.13818359375</v>
      </c>
      <c r="O215" s="71">
        <v>232.8947296142578</v>
      </c>
      <c r="P215" s="72"/>
      <c r="Q215" s="73"/>
      <c r="R215" s="73"/>
      <c r="S215" s="87"/>
      <c r="T215" s="45">
        <v>1</v>
      </c>
      <c r="U215" s="45">
        <v>0</v>
      </c>
      <c r="V215" s="46">
        <v>0</v>
      </c>
      <c r="W215" s="46">
        <v>0.008451</v>
      </c>
      <c r="X215" s="46">
        <v>0</v>
      </c>
      <c r="Y215" s="46">
        <v>0.004267</v>
      </c>
      <c r="Z215" s="46">
        <v>0</v>
      </c>
      <c r="AA215" s="46">
        <v>0</v>
      </c>
      <c r="AB215" s="68">
        <v>215</v>
      </c>
      <c r="AC215" s="68"/>
      <c r="AD215" s="69"/>
      <c r="AE215" s="76" t="s">
        <v>1537</v>
      </c>
      <c r="AF215" s="80" t="s">
        <v>1643</v>
      </c>
      <c r="AG215" s="76">
        <v>121</v>
      </c>
      <c r="AH215" s="76">
        <v>54</v>
      </c>
      <c r="AI215" s="76">
        <v>12649</v>
      </c>
      <c r="AJ215" s="76">
        <v>1</v>
      </c>
      <c r="AK215" s="76">
        <v>13</v>
      </c>
      <c r="AL215" s="76">
        <v>844</v>
      </c>
      <c r="AM215" s="76" t="b">
        <v>0</v>
      </c>
      <c r="AN215" s="78">
        <v>44789.555752314816</v>
      </c>
      <c r="AO215" s="76" t="s">
        <v>1746</v>
      </c>
      <c r="AP215" s="76" t="s">
        <v>1950</v>
      </c>
      <c r="AQ215" s="76"/>
      <c r="AR215" s="76"/>
      <c r="AS215" s="76"/>
      <c r="AT215" s="76"/>
      <c r="AU215" s="76"/>
      <c r="AV215" s="76"/>
      <c r="AW215" s="76">
        <v>1.59934892002646E+18</v>
      </c>
      <c r="AX215" s="76"/>
      <c r="AY215" s="76" t="b">
        <v>0</v>
      </c>
      <c r="AZ215" s="76"/>
      <c r="BA215" s="76"/>
      <c r="BB215" s="76" t="b">
        <v>1</v>
      </c>
      <c r="BC215" s="76" t="b">
        <v>1</v>
      </c>
      <c r="BD215" s="76" t="b">
        <v>1</v>
      </c>
      <c r="BE215" s="76" t="b">
        <v>0</v>
      </c>
      <c r="BF215" s="76" t="b">
        <v>0</v>
      </c>
      <c r="BG215" s="76" t="b">
        <v>0</v>
      </c>
      <c r="BH215" s="76" t="b">
        <v>0</v>
      </c>
      <c r="BI215" s="82" t="str">
        <f>HYPERLINK("https://pbs.twimg.com/profile_banners/1559530337515995140/1660728365")</f>
        <v>https://pbs.twimg.com/profile_banners/1559530337515995140/1660728365</v>
      </c>
      <c r="BJ215" s="76"/>
      <c r="BK215" s="76" t="s">
        <v>2092</v>
      </c>
      <c r="BL215" s="76" t="b">
        <v>0</v>
      </c>
      <c r="BM215" s="76"/>
      <c r="BN215" s="76" t="s">
        <v>65</v>
      </c>
      <c r="BO215" s="76" t="s">
        <v>2094</v>
      </c>
      <c r="BP215" s="82" t="str">
        <f>HYPERLINK("https://twitter.com/tinselfire")</f>
        <v>https://twitter.com/tinselfire</v>
      </c>
      <c r="BQ215" s="76" t="str">
        <f>REPLACE(INDEX(GroupVertices[Group],MATCH("~"&amp;Vertices[[#This Row],[Vertex]],GroupVertices[Vertex],0)),1,1,"")</f>
        <v>8</v>
      </c>
      <c r="BR215" s="45"/>
      <c r="BS215" s="46"/>
      <c r="BT215" s="45"/>
      <c r="BU215" s="46"/>
      <c r="BV215" s="45"/>
      <c r="BW215" s="46"/>
      <c r="BX215" s="45"/>
      <c r="BY215" s="46"/>
      <c r="BZ215" s="45"/>
      <c r="CA215" s="45"/>
      <c r="CB215" s="45"/>
      <c r="CC215" s="45"/>
      <c r="CD215" s="45"/>
      <c r="CE215" s="45"/>
      <c r="CF215" s="45"/>
      <c r="CG215" s="45"/>
      <c r="CH215" s="45"/>
      <c r="CI215" s="45"/>
      <c r="CJ215" s="45"/>
      <c r="CK215" s="2"/>
    </row>
    <row r="216" spans="1:89" ht="41.45" customHeight="1">
      <c r="A216" s="88" t="s">
        <v>435</v>
      </c>
      <c r="C216" s="89"/>
      <c r="D216" s="89" t="s">
        <v>64</v>
      </c>
      <c r="E216" s="90">
        <v>70</v>
      </c>
      <c r="F216" s="91"/>
      <c r="G216" s="102" t="str">
        <f>HYPERLINK("https://pbs.twimg.com/profile_images/1555752551588454403/Z32io5E5_normal.jpg")</f>
        <v>https://pbs.twimg.com/profile_images/1555752551588454403/Z32io5E5_normal.jpg</v>
      </c>
      <c r="H216" s="89"/>
      <c r="I216" s="92" t="s">
        <v>435</v>
      </c>
      <c r="J216" s="93"/>
      <c r="K216" s="93" t="s">
        <v>75</v>
      </c>
      <c r="L216" s="92" t="s">
        <v>2307</v>
      </c>
      <c r="M216" s="94">
        <v>2000.6</v>
      </c>
      <c r="N216" s="95">
        <v>4012.9638671875</v>
      </c>
      <c r="O216" s="95">
        <v>1728.65771484375</v>
      </c>
      <c r="P216" s="96"/>
      <c r="Q216" s="97"/>
      <c r="R216" s="97"/>
      <c r="S216" s="98"/>
      <c r="T216" s="45">
        <v>1</v>
      </c>
      <c r="U216" s="45">
        <v>0</v>
      </c>
      <c r="V216" s="46">
        <v>0</v>
      </c>
      <c r="W216" s="46">
        <v>0.008451</v>
      </c>
      <c r="X216" s="46">
        <v>0</v>
      </c>
      <c r="Y216" s="46">
        <v>0.004267</v>
      </c>
      <c r="Z216" s="46">
        <v>0</v>
      </c>
      <c r="AA216" s="46">
        <v>0</v>
      </c>
      <c r="AB216" s="99">
        <v>216</v>
      </c>
      <c r="AC216" s="99"/>
      <c r="AD216" s="100"/>
      <c r="AE216" s="76" t="s">
        <v>1538</v>
      </c>
      <c r="AF216" s="80" t="s">
        <v>1206</v>
      </c>
      <c r="AG216" s="76">
        <v>2283</v>
      </c>
      <c r="AH216" s="76">
        <v>867</v>
      </c>
      <c r="AI216" s="76">
        <v>21054</v>
      </c>
      <c r="AJ216" s="76">
        <v>39</v>
      </c>
      <c r="AK216" s="76">
        <v>21625</v>
      </c>
      <c r="AL216" s="76">
        <v>2153</v>
      </c>
      <c r="AM216" s="76" t="b">
        <v>0</v>
      </c>
      <c r="AN216" s="78">
        <v>44774.137766203705</v>
      </c>
      <c r="AO216" s="76" t="s">
        <v>1747</v>
      </c>
      <c r="AP216" s="76" t="s">
        <v>1951</v>
      </c>
      <c r="AQ216" s="76"/>
      <c r="AR216" s="76"/>
      <c r="AS216" s="76"/>
      <c r="AT216" s="76"/>
      <c r="AU216" s="76"/>
      <c r="AV216" s="76"/>
      <c r="AW216" s="76"/>
      <c r="AX216" s="76"/>
      <c r="AY216" s="76" t="b">
        <v>1</v>
      </c>
      <c r="AZ216" s="76"/>
      <c r="BA216" s="76"/>
      <c r="BB216" s="76" t="b">
        <v>1</v>
      </c>
      <c r="BC216" s="76" t="b">
        <v>1</v>
      </c>
      <c r="BD216" s="76" t="b">
        <v>1</v>
      </c>
      <c r="BE216" s="76" t="b">
        <v>0</v>
      </c>
      <c r="BF216" s="76" t="b">
        <v>0</v>
      </c>
      <c r="BG216" s="76" t="b">
        <v>0</v>
      </c>
      <c r="BH216" s="76" t="b">
        <v>0</v>
      </c>
      <c r="BI216" s="76"/>
      <c r="BJ216" s="76"/>
      <c r="BK216" s="76" t="s">
        <v>2092</v>
      </c>
      <c r="BL216" s="76" t="b">
        <v>0</v>
      </c>
      <c r="BM216" s="76"/>
      <c r="BN216" s="76" t="s">
        <v>65</v>
      </c>
      <c r="BO216" s="76" t="s">
        <v>2094</v>
      </c>
      <c r="BP216" s="82" t="str">
        <f>HYPERLINK("https://twitter.com/cobraeconomics")</f>
        <v>https://twitter.com/cobraeconomics</v>
      </c>
      <c r="BQ216" s="76" t="str">
        <f>REPLACE(INDEX(GroupVertices[Group],MATCH("~"&amp;Vertices[[#This Row],[Vertex]],GroupVertices[Vertex],0)),1,1,"")</f>
        <v>8</v>
      </c>
      <c r="BR216" s="45"/>
      <c r="BS216" s="46"/>
      <c r="BT216" s="45"/>
      <c r="BU216" s="46"/>
      <c r="BV216" s="45"/>
      <c r="BW216" s="46"/>
      <c r="BX216" s="45"/>
      <c r="BY216" s="46"/>
      <c r="BZ216" s="45"/>
      <c r="CA216" s="45"/>
      <c r="CB216" s="45"/>
      <c r="CC216" s="45"/>
      <c r="CD216" s="45"/>
      <c r="CE216" s="45"/>
      <c r="CF216" s="45"/>
      <c r="CG216" s="45"/>
      <c r="CH216" s="45"/>
      <c r="CI216" s="45"/>
      <c r="CJ216" s="45"/>
      <c r="CK216" s="2"/>
    </row>
    <row r="217" spans="1:89" ht="41.45" customHeight="1">
      <c r="A217" s="61" t="s">
        <v>632</v>
      </c>
      <c r="C217" s="62"/>
      <c r="D217" s="62" t="s">
        <v>64</v>
      </c>
      <c r="E217" s="63">
        <v>70</v>
      </c>
      <c r="F217" s="65"/>
      <c r="G217" s="101" t="str">
        <f>HYPERLINK("https://pbs.twimg.com/profile_images/1605286152172212225/SbfMuNeR_normal.jpg")</f>
        <v>https://pbs.twimg.com/profile_images/1605286152172212225/SbfMuNeR_normal.jpg</v>
      </c>
      <c r="H217" s="62" t="s">
        <v>51</v>
      </c>
      <c r="I217" s="66" t="s">
        <v>632</v>
      </c>
      <c r="J217" s="67"/>
      <c r="K217" s="67" t="s">
        <v>75</v>
      </c>
      <c r="L217" s="66" t="s">
        <v>2308</v>
      </c>
      <c r="M217" s="70">
        <v>1</v>
      </c>
      <c r="N217" s="71">
        <v>691.3887329101562</v>
      </c>
      <c r="O217" s="71">
        <v>9495.0185546875</v>
      </c>
      <c r="P217" s="72"/>
      <c r="Q217" s="73"/>
      <c r="R217" s="73"/>
      <c r="S217" s="87"/>
      <c r="T217" s="45">
        <v>0</v>
      </c>
      <c r="U217" s="45">
        <v>0</v>
      </c>
      <c r="V217" s="46">
        <v>0</v>
      </c>
      <c r="W217" s="46">
        <v>0</v>
      </c>
      <c r="X217" s="46">
        <v>0</v>
      </c>
      <c r="Y217" s="46">
        <v>0</v>
      </c>
      <c r="Z217" s="46">
        <v>0</v>
      </c>
      <c r="AA217" s="46">
        <v>0</v>
      </c>
      <c r="AB217" s="68">
        <v>217</v>
      </c>
      <c r="AC217" s="68"/>
      <c r="AD217" s="69"/>
      <c r="AE217" s="76" t="s">
        <v>1539</v>
      </c>
      <c r="AF217" s="80" t="s">
        <v>1644</v>
      </c>
      <c r="AG217" s="76">
        <v>721982</v>
      </c>
      <c r="AH217" s="76">
        <v>11598</v>
      </c>
      <c r="AI217" s="76">
        <v>254013</v>
      </c>
      <c r="AJ217" s="76">
        <v>7115</v>
      </c>
      <c r="AK217" s="76">
        <v>1716</v>
      </c>
      <c r="AL217" s="76">
        <v>46260</v>
      </c>
      <c r="AM217" s="76" t="b">
        <v>0</v>
      </c>
      <c r="AN217" s="78">
        <v>39548.6771875</v>
      </c>
      <c r="AO217" s="76" t="s">
        <v>1748</v>
      </c>
      <c r="AP217" s="76" t="s">
        <v>1952</v>
      </c>
      <c r="AQ217" s="82" t="str">
        <f>HYPERLINK("https://t.co/ktDgiF5R17")</f>
        <v>https://t.co/ktDgiF5R17</v>
      </c>
      <c r="AR217" s="82" t="str">
        <f>HYPERLINK("http://SeattleTimes.com")</f>
        <v>http://SeattleTimes.com</v>
      </c>
      <c r="AS217" s="76" t="s">
        <v>2056</v>
      </c>
      <c r="AT217" s="82" t="str">
        <f>HYPERLINK("https://t.co/GYVl7xKPYg")</f>
        <v>https://t.co/GYVl7xKPYg</v>
      </c>
      <c r="AU217" s="82" t="str">
        <f>HYPERLINK("http://st.news/subscribe")</f>
        <v>http://st.news/subscribe</v>
      </c>
      <c r="AV217" s="76" t="s">
        <v>2091</v>
      </c>
      <c r="AW217" s="76">
        <v>1.59257554872713E+18</v>
      </c>
      <c r="AX217" s="82" t="str">
        <f>HYPERLINK("https://t.co/ktDgiF5R17")</f>
        <v>https://t.co/ktDgiF5R17</v>
      </c>
      <c r="AY217" s="76" t="b">
        <v>0</v>
      </c>
      <c r="AZ217" s="76"/>
      <c r="BA217" s="76"/>
      <c r="BB217" s="76" t="b">
        <v>0</v>
      </c>
      <c r="BC217" s="76" t="b">
        <v>1</v>
      </c>
      <c r="BD217" s="76" t="b">
        <v>0</v>
      </c>
      <c r="BE217" s="76" t="b">
        <v>0</v>
      </c>
      <c r="BF217" s="76" t="b">
        <v>1</v>
      </c>
      <c r="BG217" s="76" t="b">
        <v>0</v>
      </c>
      <c r="BH217" s="76" t="b">
        <v>0</v>
      </c>
      <c r="BI217" s="82" t="str">
        <f>HYPERLINK("https://pbs.twimg.com/profile_banners/14352556/1522086791")</f>
        <v>https://pbs.twimg.com/profile_banners/14352556/1522086791</v>
      </c>
      <c r="BJ217" s="76"/>
      <c r="BK217" s="76" t="s">
        <v>2093</v>
      </c>
      <c r="BL217" s="76" t="b">
        <v>0</v>
      </c>
      <c r="BM217" s="76"/>
      <c r="BN217" s="76" t="s">
        <v>65</v>
      </c>
      <c r="BO217" s="76" t="s">
        <v>2094</v>
      </c>
      <c r="BP217" s="82" t="str">
        <f>HYPERLINK("https://twitter.com/seattletimes")</f>
        <v>https://twitter.com/seattletimes</v>
      </c>
      <c r="BQ217" s="76" t="str">
        <f>REPLACE(INDEX(GroupVertices[Group],MATCH("~"&amp;Vertices[[#This Row],[Vertex]],GroupVertices[Vertex],0)),1,1,"")</f>
        <v>1</v>
      </c>
      <c r="BR217" s="45"/>
      <c r="BS217" s="46"/>
      <c r="BT217" s="45"/>
      <c r="BU217" s="46"/>
      <c r="BV217" s="45"/>
      <c r="BW217" s="46"/>
      <c r="BX217" s="45"/>
      <c r="BY217" s="46"/>
      <c r="BZ217" s="45"/>
      <c r="CA217" s="45"/>
      <c r="CB217" s="45"/>
      <c r="CC217" s="45"/>
      <c r="CD217" s="45"/>
      <c r="CE217" s="45"/>
      <c r="CF217" s="45"/>
      <c r="CG217" s="45"/>
      <c r="CH217" s="45"/>
      <c r="CI217" s="45"/>
      <c r="CJ217" s="45"/>
      <c r="CK217" s="2"/>
    </row>
    <row r="218" spans="1:89" ht="41.45" customHeight="1">
      <c r="A218" s="61" t="s">
        <v>1288</v>
      </c>
      <c r="C218" s="62"/>
      <c r="D218" s="62" t="s">
        <v>64</v>
      </c>
      <c r="E218" s="63">
        <v>70</v>
      </c>
      <c r="F218" s="65"/>
      <c r="G218" s="101" t="str">
        <f>HYPERLINK("https://pbs.twimg.com/profile_images/1595142491124076544/9jK2TVZO_normal.jpg")</f>
        <v>https://pbs.twimg.com/profile_images/1595142491124076544/9jK2TVZO_normal.jpg</v>
      </c>
      <c r="H218" s="62" t="s">
        <v>51</v>
      </c>
      <c r="I218" s="66" t="s">
        <v>1288</v>
      </c>
      <c r="J218" s="67"/>
      <c r="K218" s="67" t="s">
        <v>75</v>
      </c>
      <c r="L218" s="66" t="s">
        <v>2309</v>
      </c>
      <c r="M218" s="70">
        <v>1</v>
      </c>
      <c r="N218" s="71">
        <v>248.42568969726562</v>
      </c>
      <c r="O218" s="71">
        <v>9495.0185546875</v>
      </c>
      <c r="P218" s="72"/>
      <c r="Q218" s="73"/>
      <c r="R218" s="73"/>
      <c r="S218" s="87"/>
      <c r="T218" s="45">
        <v>0</v>
      </c>
      <c r="U218" s="45">
        <v>0</v>
      </c>
      <c r="V218" s="46">
        <v>0</v>
      </c>
      <c r="W218" s="46">
        <v>0</v>
      </c>
      <c r="X218" s="46">
        <v>0</v>
      </c>
      <c r="Y218" s="46">
        <v>0</v>
      </c>
      <c r="Z218" s="46">
        <v>0</v>
      </c>
      <c r="AA218" s="46">
        <v>0</v>
      </c>
      <c r="AB218" s="68">
        <v>218</v>
      </c>
      <c r="AC218" s="68"/>
      <c r="AD218" s="69"/>
      <c r="AE218" s="76" t="s">
        <v>1540</v>
      </c>
      <c r="AF218" s="80" t="s">
        <v>1645</v>
      </c>
      <c r="AG218" s="76">
        <v>294</v>
      </c>
      <c r="AH218" s="76">
        <v>275</v>
      </c>
      <c r="AI218" s="76">
        <v>30624</v>
      </c>
      <c r="AJ218" s="76">
        <v>3</v>
      </c>
      <c r="AK218" s="76">
        <v>50547</v>
      </c>
      <c r="AL218" s="76">
        <v>1163</v>
      </c>
      <c r="AM218" s="76" t="b">
        <v>0</v>
      </c>
      <c r="AN218" s="78">
        <v>43972.547118055554</v>
      </c>
      <c r="AO218" s="76"/>
      <c r="AP218" s="76" t="s">
        <v>1953</v>
      </c>
      <c r="AQ218" s="76"/>
      <c r="AR218" s="76"/>
      <c r="AS218" s="76"/>
      <c r="AT218" s="76"/>
      <c r="AU218" s="76"/>
      <c r="AV218" s="76"/>
      <c r="AW218" s="76"/>
      <c r="AX218" s="76"/>
      <c r="AY218" s="76" t="b">
        <v>0</v>
      </c>
      <c r="AZ218" s="76"/>
      <c r="BA218" s="76"/>
      <c r="BB218" s="76" t="b">
        <v>0</v>
      </c>
      <c r="BC218" s="76" t="b">
        <v>1</v>
      </c>
      <c r="BD218" s="76" t="b">
        <v>1</v>
      </c>
      <c r="BE218" s="76" t="b">
        <v>0</v>
      </c>
      <c r="BF218" s="76" t="b">
        <v>1</v>
      </c>
      <c r="BG218" s="76" t="b">
        <v>0</v>
      </c>
      <c r="BH218" s="76" t="b">
        <v>0</v>
      </c>
      <c r="BI218" s="82" t="str">
        <f>HYPERLINK("https://pbs.twimg.com/profile_banners/1263456385322192901/1669146585")</f>
        <v>https://pbs.twimg.com/profile_banners/1263456385322192901/1669146585</v>
      </c>
      <c r="BJ218" s="76"/>
      <c r="BK218" s="76" t="s">
        <v>2092</v>
      </c>
      <c r="BL218" s="76" t="b">
        <v>0</v>
      </c>
      <c r="BM218" s="76"/>
      <c r="BN218" s="76" t="s">
        <v>65</v>
      </c>
      <c r="BO218" s="76" t="s">
        <v>2094</v>
      </c>
      <c r="BP218" s="82" t="str">
        <f>HYPERLINK("https://twitter.com/lesnara2")</f>
        <v>https://twitter.com/lesnara2</v>
      </c>
      <c r="BQ218" s="76" t="str">
        <f>REPLACE(INDEX(GroupVertices[Group],MATCH("~"&amp;Vertices[[#This Row],[Vertex]],GroupVertices[Vertex],0)),1,1,"")</f>
        <v>1</v>
      </c>
      <c r="BR218" s="45"/>
      <c r="BS218" s="46"/>
      <c r="BT218" s="45"/>
      <c r="BU218" s="46"/>
      <c r="BV218" s="45"/>
      <c r="BW218" s="46"/>
      <c r="BX218" s="45"/>
      <c r="BY218" s="46"/>
      <c r="BZ218" s="45"/>
      <c r="CA218" s="45"/>
      <c r="CB218" s="45"/>
      <c r="CC218" s="45"/>
      <c r="CD218" s="45"/>
      <c r="CE218" s="45"/>
      <c r="CF218" s="45"/>
      <c r="CG218" s="45"/>
      <c r="CH218" s="45"/>
      <c r="CI218" s="45"/>
      <c r="CJ218" s="45"/>
      <c r="CK218" s="2"/>
    </row>
    <row r="219" spans="1:89" ht="41.45" customHeight="1">
      <c r="A219" s="61" t="s">
        <v>1289</v>
      </c>
      <c r="C219" s="62"/>
      <c r="D219" s="62" t="s">
        <v>64</v>
      </c>
      <c r="E219" s="63">
        <v>70</v>
      </c>
      <c r="F219" s="65"/>
      <c r="G219" s="101" t="str">
        <f>HYPERLINK("https://pbs.twimg.com/profile_images/1518687677712850944/pTJ2rv_Y_normal.jpg")</f>
        <v>https://pbs.twimg.com/profile_images/1518687677712850944/pTJ2rv_Y_normal.jpg</v>
      </c>
      <c r="H219" s="62" t="s">
        <v>51</v>
      </c>
      <c r="I219" s="66" t="s">
        <v>1289</v>
      </c>
      <c r="J219" s="67"/>
      <c r="K219" s="67" t="s">
        <v>75</v>
      </c>
      <c r="L219" s="66" t="s">
        <v>2310</v>
      </c>
      <c r="M219" s="70">
        <v>1</v>
      </c>
      <c r="N219" s="71">
        <v>1134.3516845703125</v>
      </c>
      <c r="O219" s="71">
        <v>9495.0185546875</v>
      </c>
      <c r="P219" s="72"/>
      <c r="Q219" s="73"/>
      <c r="R219" s="73"/>
      <c r="S219" s="87"/>
      <c r="T219" s="45">
        <v>0</v>
      </c>
      <c r="U219" s="45">
        <v>0</v>
      </c>
      <c r="V219" s="46">
        <v>0</v>
      </c>
      <c r="W219" s="46">
        <v>0</v>
      </c>
      <c r="X219" s="46">
        <v>0</v>
      </c>
      <c r="Y219" s="46">
        <v>0</v>
      </c>
      <c r="Z219" s="46">
        <v>0</v>
      </c>
      <c r="AA219" s="46">
        <v>0</v>
      </c>
      <c r="AB219" s="68">
        <v>219</v>
      </c>
      <c r="AC219" s="68"/>
      <c r="AD219" s="69"/>
      <c r="AE219" s="76" t="s">
        <v>1541</v>
      </c>
      <c r="AF219" s="80" t="s">
        <v>1646</v>
      </c>
      <c r="AG219" s="76">
        <v>69</v>
      </c>
      <c r="AH219" s="76">
        <v>121</v>
      </c>
      <c r="AI219" s="76">
        <v>5509</v>
      </c>
      <c r="AJ219" s="76">
        <v>0</v>
      </c>
      <c r="AK219" s="76">
        <v>1302</v>
      </c>
      <c r="AL219" s="76">
        <v>43</v>
      </c>
      <c r="AM219" s="76" t="b">
        <v>0</v>
      </c>
      <c r="AN219" s="78">
        <v>44676.850486111114</v>
      </c>
      <c r="AO219" s="76"/>
      <c r="AP219" s="76" t="s">
        <v>1954</v>
      </c>
      <c r="AQ219" s="76"/>
      <c r="AR219" s="76"/>
      <c r="AS219" s="76"/>
      <c r="AT219" s="76"/>
      <c r="AU219" s="76"/>
      <c r="AV219" s="76"/>
      <c r="AW219" s="76"/>
      <c r="AX219" s="76"/>
      <c r="AY219" s="76" t="b">
        <v>0</v>
      </c>
      <c r="AZ219" s="76"/>
      <c r="BA219" s="76"/>
      <c r="BB219" s="76" t="b">
        <v>0</v>
      </c>
      <c r="BC219" s="76" t="b">
        <v>1</v>
      </c>
      <c r="BD219" s="76" t="b">
        <v>1</v>
      </c>
      <c r="BE219" s="76" t="b">
        <v>0</v>
      </c>
      <c r="BF219" s="76" t="b">
        <v>1</v>
      </c>
      <c r="BG219" s="76" t="b">
        <v>0</v>
      </c>
      <c r="BH219" s="76" t="b">
        <v>0</v>
      </c>
      <c r="BI219" s="76"/>
      <c r="BJ219" s="76"/>
      <c r="BK219" s="76" t="s">
        <v>2092</v>
      </c>
      <c r="BL219" s="76" t="b">
        <v>0</v>
      </c>
      <c r="BM219" s="76"/>
      <c r="BN219" s="76" t="s">
        <v>65</v>
      </c>
      <c r="BO219" s="76" t="s">
        <v>2094</v>
      </c>
      <c r="BP219" s="82" t="str">
        <f>HYPERLINK("https://twitter.com/nickroj80278654")</f>
        <v>https://twitter.com/nickroj80278654</v>
      </c>
      <c r="BQ219" s="76" t="str">
        <f>REPLACE(INDEX(GroupVertices[Group],MATCH("~"&amp;Vertices[[#This Row],[Vertex]],GroupVertices[Vertex],0)),1,1,"")</f>
        <v>1</v>
      </c>
      <c r="BR219" s="45"/>
      <c r="BS219" s="46"/>
      <c r="BT219" s="45"/>
      <c r="BU219" s="46"/>
      <c r="BV219" s="45"/>
      <c r="BW219" s="46"/>
      <c r="BX219" s="45"/>
      <c r="BY219" s="46"/>
      <c r="BZ219" s="45"/>
      <c r="CA219" s="45"/>
      <c r="CB219" s="45"/>
      <c r="CC219" s="45"/>
      <c r="CD219" s="45"/>
      <c r="CE219" s="45"/>
      <c r="CF219" s="45"/>
      <c r="CG219" s="45"/>
      <c r="CH219" s="45"/>
      <c r="CI219" s="45"/>
      <c r="CJ219" s="45"/>
      <c r="CK219" s="2"/>
    </row>
    <row r="220" spans="1:89" ht="41.45" customHeight="1">
      <c r="A220" s="88" t="s">
        <v>1290</v>
      </c>
      <c r="C220" s="89"/>
      <c r="D220" s="89" t="s">
        <v>64</v>
      </c>
      <c r="E220" s="90">
        <v>70</v>
      </c>
      <c r="F220" s="91"/>
      <c r="G220" s="102" t="str">
        <f>HYPERLINK("https://pbs.twimg.com/profile_images/1478326223826833418/j0YdugW2_normal.png")</f>
        <v>https://pbs.twimg.com/profile_images/1478326223826833418/j0YdugW2_normal.png</v>
      </c>
      <c r="H220" s="89" t="s">
        <v>51</v>
      </c>
      <c r="I220" s="92" t="s">
        <v>1290</v>
      </c>
      <c r="J220" s="93"/>
      <c r="K220" s="93" t="s">
        <v>75</v>
      </c>
      <c r="L220" s="92" t="s">
        <v>2311</v>
      </c>
      <c r="M220" s="94">
        <v>1</v>
      </c>
      <c r="N220" s="95">
        <v>1577.314697265625</v>
      </c>
      <c r="O220" s="95">
        <v>9495.0185546875</v>
      </c>
      <c r="P220" s="96"/>
      <c r="Q220" s="97"/>
      <c r="R220" s="97"/>
      <c r="S220" s="98"/>
      <c r="T220" s="45">
        <v>0</v>
      </c>
      <c r="U220" s="45">
        <v>0</v>
      </c>
      <c r="V220" s="46">
        <v>0</v>
      </c>
      <c r="W220" s="46">
        <v>0</v>
      </c>
      <c r="X220" s="46">
        <v>0</v>
      </c>
      <c r="Y220" s="46">
        <v>0</v>
      </c>
      <c r="Z220" s="46">
        <v>0</v>
      </c>
      <c r="AA220" s="46">
        <v>0</v>
      </c>
      <c r="AB220" s="99">
        <v>220</v>
      </c>
      <c r="AC220" s="99"/>
      <c r="AD220" s="100"/>
      <c r="AE220" s="76" t="s">
        <v>1542</v>
      </c>
      <c r="AF220" s="80" t="s">
        <v>1647</v>
      </c>
      <c r="AG220" s="76">
        <v>11</v>
      </c>
      <c r="AH220" s="76">
        <v>35</v>
      </c>
      <c r="AI220" s="76">
        <v>146</v>
      </c>
      <c r="AJ220" s="76">
        <v>0</v>
      </c>
      <c r="AK220" s="76">
        <v>754</v>
      </c>
      <c r="AL220" s="76">
        <v>1</v>
      </c>
      <c r="AM220" s="76" t="b">
        <v>0</v>
      </c>
      <c r="AN220" s="78">
        <v>44565.47467592593</v>
      </c>
      <c r="AO220" s="76"/>
      <c r="AP220" s="76"/>
      <c r="AQ220" s="76"/>
      <c r="AR220" s="76"/>
      <c r="AS220" s="76"/>
      <c r="AT220" s="76"/>
      <c r="AU220" s="76"/>
      <c r="AV220" s="76"/>
      <c r="AW220" s="76"/>
      <c r="AX220" s="76"/>
      <c r="AY220" s="76" t="b">
        <v>0</v>
      </c>
      <c r="AZ220" s="76"/>
      <c r="BA220" s="76"/>
      <c r="BB220" s="76" t="b">
        <v>0</v>
      </c>
      <c r="BC220" s="76" t="b">
        <v>1</v>
      </c>
      <c r="BD220" s="76" t="b">
        <v>1</v>
      </c>
      <c r="BE220" s="76" t="b">
        <v>0</v>
      </c>
      <c r="BF220" s="76" t="b">
        <v>0</v>
      </c>
      <c r="BG220" s="76" t="b">
        <v>0</v>
      </c>
      <c r="BH220" s="76" t="b">
        <v>0</v>
      </c>
      <c r="BI220" s="76"/>
      <c r="BJ220" s="76"/>
      <c r="BK220" s="76" t="s">
        <v>2092</v>
      </c>
      <c r="BL220" s="76" t="b">
        <v>0</v>
      </c>
      <c r="BM220" s="76"/>
      <c r="BN220" s="76" t="s">
        <v>65</v>
      </c>
      <c r="BO220" s="76" t="s">
        <v>2094</v>
      </c>
      <c r="BP220" s="82" t="str">
        <f>HYPERLINK("https://twitter.com/sampack00679914")</f>
        <v>https://twitter.com/sampack00679914</v>
      </c>
      <c r="BQ220" s="76" t="str">
        <f>REPLACE(INDEX(GroupVertices[Group],MATCH("~"&amp;Vertices[[#This Row],[Vertex]],GroupVertices[Vertex],0)),1,1,"")</f>
        <v>1</v>
      </c>
      <c r="BR220" s="45"/>
      <c r="BS220" s="46"/>
      <c r="BT220" s="45"/>
      <c r="BU220" s="46"/>
      <c r="BV220" s="45"/>
      <c r="BW220" s="46"/>
      <c r="BX220" s="45"/>
      <c r="BY220" s="46"/>
      <c r="BZ220" s="45"/>
      <c r="CA220" s="45"/>
      <c r="CB220" s="45"/>
      <c r="CC220" s="45"/>
      <c r="CD220" s="45"/>
      <c r="CE220" s="45"/>
      <c r="CF220" s="45"/>
      <c r="CG220" s="45"/>
      <c r="CH220" s="45"/>
      <c r="CI220" s="45"/>
      <c r="CJ220" s="45"/>
      <c r="CK22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2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20"/>
    <dataValidation allowBlank="1" showInputMessage="1" promptTitle="Vertex Tooltip" prompt="Enter optional text that will pop up when the mouse is hovered over the vertex." errorTitle="Invalid Vertex Image Key" sqref="L3:L2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20"/>
    <dataValidation allowBlank="1" showInputMessage="1" promptTitle="Vertex Label Fill Color" prompt="To select an optional fill color for the Label shape, right-click and select Select Color on the right-click menu." sqref="J3:J220"/>
    <dataValidation allowBlank="1" showInputMessage="1" promptTitle="Vertex Image File" prompt="Enter the path to an image file.  Hover over the column header for examples." errorTitle="Invalid Vertex Image Key" sqref="G3:G220"/>
    <dataValidation allowBlank="1" showInputMessage="1" promptTitle="Vertex Color" prompt="To select an optional vertex color, right-click and select Select Color on the right-click menu." sqref="C3:C220"/>
    <dataValidation allowBlank="1" showInputMessage="1" promptTitle="Vertex Opacity" prompt="Enter an optional vertex opacity between 0 (transparent) and 100 (opaque)." errorTitle="Invalid Vertex Opacity" error="The optional vertex opacity must be a whole number between 0 and 10." sqref="F3:F220"/>
    <dataValidation type="list" allowBlank="1" showInputMessage="1" showErrorMessage="1" promptTitle="Vertex Shape" prompt="Select an optional vertex shape." errorTitle="Invalid Vertex Shape" error="You have entered an invalid vertex shape.  Try selecting from the drop-down list instead." sqref="D3:D2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20">
      <formula1>ValidVertexLabelPositions</formula1>
    </dataValidation>
    <dataValidation allowBlank="1" showInputMessage="1" showErrorMessage="1" promptTitle="Vertex Name" prompt="Enter the name of the vertex." sqref="A3:A22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2812</v>
      </c>
      <c r="Z2" s="50" t="s">
        <v>2813</v>
      </c>
      <c r="AA2" s="50" t="s">
        <v>2814</v>
      </c>
      <c r="AB2" s="50" t="s">
        <v>2815</v>
      </c>
      <c r="AC2" s="50" t="s">
        <v>2816</v>
      </c>
      <c r="AD2" s="50" t="s">
        <v>2817</v>
      </c>
      <c r="AE2" s="50" t="s">
        <v>2818</v>
      </c>
      <c r="AF2" s="50" t="s">
        <v>2819</v>
      </c>
      <c r="AG2" s="50" t="s">
        <v>2822</v>
      </c>
      <c r="AH2" s="7" t="s">
        <v>11027</v>
      </c>
      <c r="AI2" s="7" t="s">
        <v>11049</v>
      </c>
      <c r="AJ2" s="7" t="s">
        <v>11063</v>
      </c>
      <c r="AK2" s="7" t="s">
        <v>11077</v>
      </c>
      <c r="AL2" s="7" t="s">
        <v>11136</v>
      </c>
      <c r="AM2" s="7" t="s">
        <v>11166</v>
      </c>
      <c r="AN2" s="7" t="s">
        <v>11171</v>
      </c>
      <c r="AO2" s="7" t="s">
        <v>11194</v>
      </c>
    </row>
    <row r="3" spans="1:41" ht="15">
      <c r="A3" s="61" t="s">
        <v>2349</v>
      </c>
      <c r="B3" s="62" t="s">
        <v>2413</v>
      </c>
      <c r="C3" s="62" t="s">
        <v>56</v>
      </c>
      <c r="D3" s="104"/>
      <c r="E3" s="11"/>
      <c r="F3" s="12" t="s">
        <v>11653</v>
      </c>
      <c r="G3" s="60"/>
      <c r="H3" s="60"/>
      <c r="I3" s="105">
        <v>3</v>
      </c>
      <c r="J3" s="47"/>
      <c r="K3" s="45">
        <v>36</v>
      </c>
      <c r="L3" s="45">
        <v>28</v>
      </c>
      <c r="M3" s="45">
        <v>15</v>
      </c>
      <c r="N3" s="45">
        <v>43</v>
      </c>
      <c r="O3" s="45">
        <v>43</v>
      </c>
      <c r="P3" s="46" t="s">
        <v>2428</v>
      </c>
      <c r="Q3" s="46" t="s">
        <v>2428</v>
      </c>
      <c r="R3" s="45">
        <v>36</v>
      </c>
      <c r="S3" s="45">
        <v>36</v>
      </c>
      <c r="T3" s="45">
        <v>1</v>
      </c>
      <c r="U3" s="45">
        <v>7</v>
      </c>
      <c r="V3" s="45">
        <v>0</v>
      </c>
      <c r="W3" s="46">
        <v>0</v>
      </c>
      <c r="X3" s="46">
        <v>0</v>
      </c>
      <c r="Y3" s="45">
        <v>29</v>
      </c>
      <c r="Z3" s="46">
        <v>2.323717948717949</v>
      </c>
      <c r="AA3" s="45">
        <v>104</v>
      </c>
      <c r="AB3" s="46">
        <v>8.333333333333334</v>
      </c>
      <c r="AC3" s="45">
        <v>0</v>
      </c>
      <c r="AD3" s="46">
        <v>0</v>
      </c>
      <c r="AE3" s="45">
        <v>613</v>
      </c>
      <c r="AF3" s="46">
        <v>49.118589743589745</v>
      </c>
      <c r="AG3" s="45">
        <v>1248</v>
      </c>
      <c r="AH3" s="76" t="s">
        <v>11028</v>
      </c>
      <c r="AI3" s="76" t="s">
        <v>11050</v>
      </c>
      <c r="AJ3" s="76" t="s">
        <v>11064</v>
      </c>
      <c r="AK3" s="80" t="s">
        <v>11078</v>
      </c>
      <c r="AL3" s="80" t="s">
        <v>11137</v>
      </c>
      <c r="AM3" s="80" t="s">
        <v>3686</v>
      </c>
      <c r="AN3" s="80" t="s">
        <v>632</v>
      </c>
      <c r="AO3" s="80" t="s">
        <v>11195</v>
      </c>
    </row>
    <row r="4" spans="1:41" ht="15">
      <c r="A4" s="61" t="s">
        <v>2350</v>
      </c>
      <c r="B4" s="62" t="s">
        <v>2414</v>
      </c>
      <c r="C4" s="62" t="s">
        <v>56</v>
      </c>
      <c r="D4" s="104"/>
      <c r="E4" s="11"/>
      <c r="F4" s="12" t="s">
        <v>11654</v>
      </c>
      <c r="G4" s="60"/>
      <c r="H4" s="60"/>
      <c r="I4" s="105">
        <v>4</v>
      </c>
      <c r="J4" s="74"/>
      <c r="K4" s="45">
        <v>13</v>
      </c>
      <c r="L4" s="45">
        <v>9</v>
      </c>
      <c r="M4" s="45">
        <v>8</v>
      </c>
      <c r="N4" s="45">
        <v>17</v>
      </c>
      <c r="O4" s="45">
        <v>1</v>
      </c>
      <c r="P4" s="46">
        <v>0</v>
      </c>
      <c r="Q4" s="46">
        <v>0</v>
      </c>
      <c r="R4" s="45">
        <v>1</v>
      </c>
      <c r="S4" s="45">
        <v>0</v>
      </c>
      <c r="T4" s="45">
        <v>13</v>
      </c>
      <c r="U4" s="45">
        <v>17</v>
      </c>
      <c r="V4" s="45">
        <v>8</v>
      </c>
      <c r="W4" s="46">
        <v>3.12426</v>
      </c>
      <c r="X4" s="46">
        <v>0.07692307692307693</v>
      </c>
      <c r="Y4" s="45">
        <v>11</v>
      </c>
      <c r="Z4" s="46">
        <v>3.5143769968051117</v>
      </c>
      <c r="AA4" s="45">
        <v>15</v>
      </c>
      <c r="AB4" s="46">
        <v>4.792332268370607</v>
      </c>
      <c r="AC4" s="45">
        <v>0</v>
      </c>
      <c r="AD4" s="46">
        <v>0</v>
      </c>
      <c r="AE4" s="45">
        <v>148</v>
      </c>
      <c r="AF4" s="46">
        <v>47.284345047923324</v>
      </c>
      <c r="AG4" s="45">
        <v>313</v>
      </c>
      <c r="AH4" s="76" t="s">
        <v>11029</v>
      </c>
      <c r="AI4" s="76" t="s">
        <v>11051</v>
      </c>
      <c r="AJ4" s="76" t="s">
        <v>11065</v>
      </c>
      <c r="AK4" s="80" t="s">
        <v>11079</v>
      </c>
      <c r="AL4" s="80" t="s">
        <v>11138</v>
      </c>
      <c r="AM4" s="80" t="s">
        <v>11167</v>
      </c>
      <c r="AN4" s="80" t="s">
        <v>11172</v>
      </c>
      <c r="AO4" s="80" t="s">
        <v>11196</v>
      </c>
    </row>
    <row r="5" spans="1:41" ht="15">
      <c r="A5" s="61" t="s">
        <v>2351</v>
      </c>
      <c r="B5" s="62" t="s">
        <v>2415</v>
      </c>
      <c r="C5" s="62" t="s">
        <v>56</v>
      </c>
      <c r="D5" s="104"/>
      <c r="E5" s="11"/>
      <c r="F5" s="12" t="s">
        <v>11655</v>
      </c>
      <c r="G5" s="60"/>
      <c r="H5" s="60"/>
      <c r="I5" s="105">
        <v>5</v>
      </c>
      <c r="J5" s="74"/>
      <c r="K5" s="45">
        <v>12</v>
      </c>
      <c r="L5" s="45">
        <v>10</v>
      </c>
      <c r="M5" s="45">
        <v>2</v>
      </c>
      <c r="N5" s="45">
        <v>12</v>
      </c>
      <c r="O5" s="45">
        <v>0</v>
      </c>
      <c r="P5" s="46">
        <v>0</v>
      </c>
      <c r="Q5" s="46">
        <v>0</v>
      </c>
      <c r="R5" s="45">
        <v>1</v>
      </c>
      <c r="S5" s="45">
        <v>0</v>
      </c>
      <c r="T5" s="45">
        <v>12</v>
      </c>
      <c r="U5" s="45">
        <v>12</v>
      </c>
      <c r="V5" s="45">
        <v>3</v>
      </c>
      <c r="W5" s="46">
        <v>1.902778</v>
      </c>
      <c r="X5" s="46">
        <v>0.08333333333333333</v>
      </c>
      <c r="Y5" s="45">
        <v>4</v>
      </c>
      <c r="Z5" s="46">
        <v>2.684563758389262</v>
      </c>
      <c r="AA5" s="45">
        <v>9</v>
      </c>
      <c r="AB5" s="46">
        <v>6.040268456375839</v>
      </c>
      <c r="AC5" s="45">
        <v>0</v>
      </c>
      <c r="AD5" s="46">
        <v>0</v>
      </c>
      <c r="AE5" s="45">
        <v>77</v>
      </c>
      <c r="AF5" s="46">
        <v>51.67785234899329</v>
      </c>
      <c r="AG5" s="45">
        <v>149</v>
      </c>
      <c r="AH5" s="76" t="s">
        <v>11011</v>
      </c>
      <c r="AI5" s="76" t="s">
        <v>608</v>
      </c>
      <c r="AJ5" s="76"/>
      <c r="AK5" s="80" t="s">
        <v>11080</v>
      </c>
      <c r="AL5" s="80" t="s">
        <v>11139</v>
      </c>
      <c r="AM5" s="80" t="s">
        <v>11168</v>
      </c>
      <c r="AN5" s="80" t="s">
        <v>11173</v>
      </c>
      <c r="AO5" s="80" t="s">
        <v>11197</v>
      </c>
    </row>
    <row r="6" spans="1:41" ht="15">
      <c r="A6" s="61" t="s">
        <v>2352</v>
      </c>
      <c r="B6" s="62" t="s">
        <v>2416</v>
      </c>
      <c r="C6" s="62" t="s">
        <v>56</v>
      </c>
      <c r="D6" s="104"/>
      <c r="E6" s="11"/>
      <c r="F6" s="12" t="s">
        <v>11656</v>
      </c>
      <c r="G6" s="60"/>
      <c r="H6" s="60"/>
      <c r="I6" s="105">
        <v>6</v>
      </c>
      <c r="J6" s="74"/>
      <c r="K6" s="45">
        <v>7</v>
      </c>
      <c r="L6" s="45">
        <v>6</v>
      </c>
      <c r="M6" s="45">
        <v>0</v>
      </c>
      <c r="N6" s="45">
        <v>6</v>
      </c>
      <c r="O6" s="45">
        <v>0</v>
      </c>
      <c r="P6" s="46">
        <v>0</v>
      </c>
      <c r="Q6" s="46">
        <v>0</v>
      </c>
      <c r="R6" s="45">
        <v>1</v>
      </c>
      <c r="S6" s="45">
        <v>0</v>
      </c>
      <c r="T6" s="45">
        <v>7</v>
      </c>
      <c r="U6" s="45">
        <v>6</v>
      </c>
      <c r="V6" s="45">
        <v>2</v>
      </c>
      <c r="W6" s="46">
        <v>1.469388</v>
      </c>
      <c r="X6" s="46">
        <v>0.14285714285714285</v>
      </c>
      <c r="Y6" s="45">
        <v>6</v>
      </c>
      <c r="Z6" s="46">
        <v>6.818181818181818</v>
      </c>
      <c r="AA6" s="45">
        <v>8</v>
      </c>
      <c r="AB6" s="46">
        <v>9.090909090909092</v>
      </c>
      <c r="AC6" s="45">
        <v>0</v>
      </c>
      <c r="AD6" s="46">
        <v>0</v>
      </c>
      <c r="AE6" s="45">
        <v>48</v>
      </c>
      <c r="AF6" s="46">
        <v>54.54545454545455</v>
      </c>
      <c r="AG6" s="45">
        <v>88</v>
      </c>
      <c r="AH6" s="76"/>
      <c r="AI6" s="76"/>
      <c r="AJ6" s="76"/>
      <c r="AK6" s="80" t="s">
        <v>11081</v>
      </c>
      <c r="AL6" s="80" t="s">
        <v>11129</v>
      </c>
      <c r="AM6" s="80" t="s">
        <v>11169</v>
      </c>
      <c r="AN6" s="80" t="s">
        <v>11174</v>
      </c>
      <c r="AO6" s="80" t="s">
        <v>11198</v>
      </c>
    </row>
    <row r="7" spans="1:41" ht="15">
      <c r="A7" s="61" t="s">
        <v>2353</v>
      </c>
      <c r="B7" s="62" t="s">
        <v>2417</v>
      </c>
      <c r="C7" s="62" t="s">
        <v>56</v>
      </c>
      <c r="D7" s="104"/>
      <c r="E7" s="11"/>
      <c r="F7" s="12" t="s">
        <v>2353</v>
      </c>
      <c r="G7" s="60"/>
      <c r="H7" s="60"/>
      <c r="I7" s="105">
        <v>7</v>
      </c>
      <c r="J7" s="74"/>
      <c r="K7" s="45">
        <v>6</v>
      </c>
      <c r="L7" s="45">
        <v>5</v>
      </c>
      <c r="M7" s="45">
        <v>0</v>
      </c>
      <c r="N7" s="45">
        <v>5</v>
      </c>
      <c r="O7" s="45">
        <v>0</v>
      </c>
      <c r="P7" s="46">
        <v>0</v>
      </c>
      <c r="Q7" s="46">
        <v>0</v>
      </c>
      <c r="R7" s="45">
        <v>1</v>
      </c>
      <c r="S7" s="45">
        <v>0</v>
      </c>
      <c r="T7" s="45">
        <v>6</v>
      </c>
      <c r="U7" s="45">
        <v>5</v>
      </c>
      <c r="V7" s="45">
        <v>2</v>
      </c>
      <c r="W7" s="46">
        <v>1.388889</v>
      </c>
      <c r="X7" s="46">
        <v>0.16666666666666666</v>
      </c>
      <c r="Y7" s="45">
        <v>0</v>
      </c>
      <c r="Z7" s="46">
        <v>0</v>
      </c>
      <c r="AA7" s="45">
        <v>3</v>
      </c>
      <c r="AB7" s="46">
        <v>5</v>
      </c>
      <c r="AC7" s="45">
        <v>0</v>
      </c>
      <c r="AD7" s="46">
        <v>0</v>
      </c>
      <c r="AE7" s="45">
        <v>31</v>
      </c>
      <c r="AF7" s="46">
        <v>51.666666666666664</v>
      </c>
      <c r="AG7" s="45">
        <v>60</v>
      </c>
      <c r="AH7" s="76"/>
      <c r="AI7" s="76"/>
      <c r="AJ7" s="76"/>
      <c r="AK7" s="80" t="s">
        <v>1210</v>
      </c>
      <c r="AL7" s="80" t="s">
        <v>1210</v>
      </c>
      <c r="AM7" s="80" t="s">
        <v>402</v>
      </c>
      <c r="AN7" s="80" t="s">
        <v>11175</v>
      </c>
      <c r="AO7" s="80" t="s">
        <v>11199</v>
      </c>
    </row>
    <row r="8" spans="1:41" ht="15">
      <c r="A8" s="61" t="s">
        <v>2354</v>
      </c>
      <c r="B8" s="62" t="s">
        <v>2418</v>
      </c>
      <c r="C8" s="62" t="s">
        <v>56</v>
      </c>
      <c r="D8" s="104"/>
      <c r="E8" s="11"/>
      <c r="F8" s="12" t="s">
        <v>11657</v>
      </c>
      <c r="G8" s="60"/>
      <c r="H8" s="60"/>
      <c r="I8" s="105">
        <v>8</v>
      </c>
      <c r="J8" s="74"/>
      <c r="K8" s="45">
        <v>6</v>
      </c>
      <c r="L8" s="45">
        <v>5</v>
      </c>
      <c r="M8" s="45">
        <v>0</v>
      </c>
      <c r="N8" s="45">
        <v>5</v>
      </c>
      <c r="O8" s="45">
        <v>0</v>
      </c>
      <c r="P8" s="46">
        <v>0</v>
      </c>
      <c r="Q8" s="46">
        <v>0</v>
      </c>
      <c r="R8" s="45">
        <v>1</v>
      </c>
      <c r="S8" s="45">
        <v>0</v>
      </c>
      <c r="T8" s="45">
        <v>6</v>
      </c>
      <c r="U8" s="45">
        <v>5</v>
      </c>
      <c r="V8" s="45">
        <v>2</v>
      </c>
      <c r="W8" s="46">
        <v>1.388889</v>
      </c>
      <c r="X8" s="46">
        <v>0.16666666666666666</v>
      </c>
      <c r="Y8" s="45">
        <v>0</v>
      </c>
      <c r="Z8" s="46">
        <v>0</v>
      </c>
      <c r="AA8" s="45">
        <v>4</v>
      </c>
      <c r="AB8" s="46">
        <v>11.764705882352942</v>
      </c>
      <c r="AC8" s="45">
        <v>1</v>
      </c>
      <c r="AD8" s="46">
        <v>2.9411764705882355</v>
      </c>
      <c r="AE8" s="45">
        <v>19</v>
      </c>
      <c r="AF8" s="46">
        <v>55.88235294117647</v>
      </c>
      <c r="AG8" s="45">
        <v>34</v>
      </c>
      <c r="AH8" s="76"/>
      <c r="AI8" s="76"/>
      <c r="AJ8" s="76"/>
      <c r="AK8" s="80" t="s">
        <v>2440</v>
      </c>
      <c r="AL8" s="80" t="s">
        <v>1210</v>
      </c>
      <c r="AM8" s="80" t="s">
        <v>346</v>
      </c>
      <c r="AN8" s="80" t="s">
        <v>11176</v>
      </c>
      <c r="AO8" s="80" t="s">
        <v>11200</v>
      </c>
    </row>
    <row r="9" spans="1:41" ht="15">
      <c r="A9" s="61" t="s">
        <v>2355</v>
      </c>
      <c r="B9" s="62" t="s">
        <v>2419</v>
      </c>
      <c r="C9" s="62" t="s">
        <v>56</v>
      </c>
      <c r="D9" s="104"/>
      <c r="E9" s="11"/>
      <c r="F9" s="12" t="s">
        <v>11658</v>
      </c>
      <c r="G9" s="60"/>
      <c r="H9" s="60"/>
      <c r="I9" s="105">
        <v>9</v>
      </c>
      <c r="J9" s="74"/>
      <c r="K9" s="45">
        <v>5</v>
      </c>
      <c r="L9" s="45">
        <v>4</v>
      </c>
      <c r="M9" s="45">
        <v>0</v>
      </c>
      <c r="N9" s="45">
        <v>4</v>
      </c>
      <c r="O9" s="45">
        <v>0</v>
      </c>
      <c r="P9" s="46">
        <v>0</v>
      </c>
      <c r="Q9" s="46">
        <v>0</v>
      </c>
      <c r="R9" s="45">
        <v>1</v>
      </c>
      <c r="S9" s="45">
        <v>0</v>
      </c>
      <c r="T9" s="45">
        <v>5</v>
      </c>
      <c r="U9" s="45">
        <v>4</v>
      </c>
      <c r="V9" s="45">
        <v>2</v>
      </c>
      <c r="W9" s="46">
        <v>1.28</v>
      </c>
      <c r="X9" s="46">
        <v>0.2</v>
      </c>
      <c r="Y9" s="45">
        <v>2</v>
      </c>
      <c r="Z9" s="46">
        <v>4.166666666666667</v>
      </c>
      <c r="AA9" s="45">
        <v>1</v>
      </c>
      <c r="AB9" s="46">
        <v>2.0833333333333335</v>
      </c>
      <c r="AC9" s="45">
        <v>0</v>
      </c>
      <c r="AD9" s="46">
        <v>0</v>
      </c>
      <c r="AE9" s="45">
        <v>26</v>
      </c>
      <c r="AF9" s="46">
        <v>54.166666666666664</v>
      </c>
      <c r="AG9" s="45">
        <v>48</v>
      </c>
      <c r="AH9" s="76"/>
      <c r="AI9" s="76"/>
      <c r="AJ9" s="76"/>
      <c r="AK9" s="80" t="s">
        <v>11082</v>
      </c>
      <c r="AL9" s="80" t="s">
        <v>1210</v>
      </c>
      <c r="AM9" s="80" t="s">
        <v>362</v>
      </c>
      <c r="AN9" s="80" t="s">
        <v>11177</v>
      </c>
      <c r="AO9" s="80" t="s">
        <v>11201</v>
      </c>
    </row>
    <row r="10" spans="1:41" ht="14.25" customHeight="1">
      <c r="A10" s="61" t="s">
        <v>2356</v>
      </c>
      <c r="B10" s="62" t="s">
        <v>2420</v>
      </c>
      <c r="C10" s="62" t="s">
        <v>56</v>
      </c>
      <c r="D10" s="104"/>
      <c r="E10" s="11"/>
      <c r="F10" s="12" t="s">
        <v>11659</v>
      </c>
      <c r="G10" s="60"/>
      <c r="H10" s="60"/>
      <c r="I10" s="105">
        <v>10</v>
      </c>
      <c r="J10" s="74"/>
      <c r="K10" s="45">
        <v>4</v>
      </c>
      <c r="L10" s="45">
        <v>2</v>
      </c>
      <c r="M10" s="45">
        <v>2</v>
      </c>
      <c r="N10" s="45">
        <v>4</v>
      </c>
      <c r="O10" s="45">
        <v>0</v>
      </c>
      <c r="P10" s="46">
        <v>0</v>
      </c>
      <c r="Q10" s="46">
        <v>0</v>
      </c>
      <c r="R10" s="45">
        <v>1</v>
      </c>
      <c r="S10" s="45">
        <v>0</v>
      </c>
      <c r="T10" s="45">
        <v>4</v>
      </c>
      <c r="U10" s="45">
        <v>4</v>
      </c>
      <c r="V10" s="45">
        <v>2</v>
      </c>
      <c r="W10" s="46">
        <v>1.125</v>
      </c>
      <c r="X10" s="46">
        <v>0.25</v>
      </c>
      <c r="Y10" s="45">
        <v>1</v>
      </c>
      <c r="Z10" s="46">
        <v>4</v>
      </c>
      <c r="AA10" s="45">
        <v>1</v>
      </c>
      <c r="AB10" s="46">
        <v>4</v>
      </c>
      <c r="AC10" s="45">
        <v>0</v>
      </c>
      <c r="AD10" s="46">
        <v>0</v>
      </c>
      <c r="AE10" s="45">
        <v>14</v>
      </c>
      <c r="AF10" s="46">
        <v>56</v>
      </c>
      <c r="AG10" s="45">
        <v>25</v>
      </c>
      <c r="AH10" s="76"/>
      <c r="AI10" s="76"/>
      <c r="AJ10" s="76"/>
      <c r="AK10" s="80" t="s">
        <v>435</v>
      </c>
      <c r="AL10" s="80" t="s">
        <v>1210</v>
      </c>
      <c r="AM10" s="80" t="s">
        <v>435</v>
      </c>
      <c r="AN10" s="80" t="s">
        <v>11178</v>
      </c>
      <c r="AO10" s="80" t="s">
        <v>11202</v>
      </c>
    </row>
    <row r="11" spans="1:41" ht="15">
      <c r="A11" s="61" t="s">
        <v>2357</v>
      </c>
      <c r="B11" s="62" t="s">
        <v>2421</v>
      </c>
      <c r="C11" s="62" t="s">
        <v>56</v>
      </c>
      <c r="D11" s="104"/>
      <c r="E11" s="11"/>
      <c r="F11" s="12" t="s">
        <v>11660</v>
      </c>
      <c r="G11" s="60"/>
      <c r="H11" s="60"/>
      <c r="I11" s="105">
        <v>11</v>
      </c>
      <c r="J11" s="74"/>
      <c r="K11" s="45">
        <v>4</v>
      </c>
      <c r="L11" s="45">
        <v>3</v>
      </c>
      <c r="M11" s="45">
        <v>0</v>
      </c>
      <c r="N11" s="45">
        <v>3</v>
      </c>
      <c r="O11" s="45">
        <v>0</v>
      </c>
      <c r="P11" s="46">
        <v>0</v>
      </c>
      <c r="Q11" s="46">
        <v>0</v>
      </c>
      <c r="R11" s="45">
        <v>1</v>
      </c>
      <c r="S11" s="45">
        <v>0</v>
      </c>
      <c r="T11" s="45">
        <v>4</v>
      </c>
      <c r="U11" s="45">
        <v>3</v>
      </c>
      <c r="V11" s="45">
        <v>2</v>
      </c>
      <c r="W11" s="46">
        <v>1.125</v>
      </c>
      <c r="X11" s="46">
        <v>0.25</v>
      </c>
      <c r="Y11" s="45">
        <v>0</v>
      </c>
      <c r="Z11" s="46">
        <v>0</v>
      </c>
      <c r="AA11" s="45">
        <v>0</v>
      </c>
      <c r="AB11" s="46">
        <v>0</v>
      </c>
      <c r="AC11" s="45">
        <v>0</v>
      </c>
      <c r="AD11" s="46">
        <v>0</v>
      </c>
      <c r="AE11" s="45">
        <v>8</v>
      </c>
      <c r="AF11" s="46">
        <v>61.53846153846154</v>
      </c>
      <c r="AG11" s="45">
        <v>13</v>
      </c>
      <c r="AH11" s="76"/>
      <c r="AI11" s="76"/>
      <c r="AJ11" s="76"/>
      <c r="AK11" s="80" t="s">
        <v>2488</v>
      </c>
      <c r="AL11" s="80" t="s">
        <v>1210</v>
      </c>
      <c r="AM11" s="80" t="s">
        <v>374</v>
      </c>
      <c r="AN11" s="80" t="s">
        <v>11179</v>
      </c>
      <c r="AO11" s="80" t="s">
        <v>11203</v>
      </c>
    </row>
    <row r="12" spans="1:41" ht="15">
      <c r="A12" s="61" t="s">
        <v>2358</v>
      </c>
      <c r="B12" s="62" t="s">
        <v>2422</v>
      </c>
      <c r="C12" s="62" t="s">
        <v>56</v>
      </c>
      <c r="D12" s="104"/>
      <c r="E12" s="11"/>
      <c r="F12" s="12" t="s">
        <v>2358</v>
      </c>
      <c r="G12" s="60"/>
      <c r="H12" s="60"/>
      <c r="I12" s="105">
        <v>12</v>
      </c>
      <c r="J12" s="74"/>
      <c r="K12" s="45">
        <v>4</v>
      </c>
      <c r="L12" s="45">
        <v>3</v>
      </c>
      <c r="M12" s="45">
        <v>0</v>
      </c>
      <c r="N12" s="45">
        <v>3</v>
      </c>
      <c r="O12" s="45">
        <v>0</v>
      </c>
      <c r="P12" s="46">
        <v>0</v>
      </c>
      <c r="Q12" s="46">
        <v>0</v>
      </c>
      <c r="R12" s="45">
        <v>1</v>
      </c>
      <c r="S12" s="45">
        <v>0</v>
      </c>
      <c r="T12" s="45">
        <v>4</v>
      </c>
      <c r="U12" s="45">
        <v>3</v>
      </c>
      <c r="V12" s="45">
        <v>2</v>
      </c>
      <c r="W12" s="46">
        <v>1.125</v>
      </c>
      <c r="X12" s="46">
        <v>0.25</v>
      </c>
      <c r="Y12" s="45">
        <v>0</v>
      </c>
      <c r="Z12" s="46">
        <v>0</v>
      </c>
      <c r="AA12" s="45">
        <v>2</v>
      </c>
      <c r="AB12" s="46">
        <v>9.523809523809524</v>
      </c>
      <c r="AC12" s="45">
        <v>0</v>
      </c>
      <c r="AD12" s="46">
        <v>0</v>
      </c>
      <c r="AE12" s="45">
        <v>10</v>
      </c>
      <c r="AF12" s="46">
        <v>47.61904761904762</v>
      </c>
      <c r="AG12" s="45">
        <v>21</v>
      </c>
      <c r="AH12" s="76"/>
      <c r="AI12" s="76"/>
      <c r="AJ12" s="76"/>
      <c r="AK12" s="80" t="s">
        <v>1210</v>
      </c>
      <c r="AL12" s="80" t="s">
        <v>1210</v>
      </c>
      <c r="AM12" s="80" t="s">
        <v>353</v>
      </c>
      <c r="AN12" s="80" t="s">
        <v>11180</v>
      </c>
      <c r="AO12" s="80" t="s">
        <v>11204</v>
      </c>
    </row>
    <row r="13" spans="1:41" ht="15">
      <c r="A13" s="61" t="s">
        <v>2359</v>
      </c>
      <c r="B13" s="62" t="s">
        <v>2423</v>
      </c>
      <c r="C13" s="62" t="s">
        <v>56</v>
      </c>
      <c r="D13" s="104"/>
      <c r="E13" s="11"/>
      <c r="F13" s="12" t="s">
        <v>11661</v>
      </c>
      <c r="G13" s="60"/>
      <c r="H13" s="60"/>
      <c r="I13" s="105">
        <v>13</v>
      </c>
      <c r="J13" s="74"/>
      <c r="K13" s="45">
        <v>3</v>
      </c>
      <c r="L13" s="45">
        <v>3</v>
      </c>
      <c r="M13" s="45">
        <v>0</v>
      </c>
      <c r="N13" s="45">
        <v>3</v>
      </c>
      <c r="O13" s="45">
        <v>1</v>
      </c>
      <c r="P13" s="46">
        <v>0</v>
      </c>
      <c r="Q13" s="46">
        <v>0</v>
      </c>
      <c r="R13" s="45">
        <v>1</v>
      </c>
      <c r="S13" s="45">
        <v>0</v>
      </c>
      <c r="T13" s="45">
        <v>3</v>
      </c>
      <c r="U13" s="45">
        <v>3</v>
      </c>
      <c r="V13" s="45">
        <v>2</v>
      </c>
      <c r="W13" s="46">
        <v>0.888889</v>
      </c>
      <c r="X13" s="46">
        <v>0.3333333333333333</v>
      </c>
      <c r="Y13" s="45">
        <v>4</v>
      </c>
      <c r="Z13" s="46">
        <v>4.166666666666667</v>
      </c>
      <c r="AA13" s="45">
        <v>6</v>
      </c>
      <c r="AB13" s="46">
        <v>6.25</v>
      </c>
      <c r="AC13" s="45">
        <v>0</v>
      </c>
      <c r="AD13" s="46">
        <v>0</v>
      </c>
      <c r="AE13" s="45">
        <v>36</v>
      </c>
      <c r="AF13" s="46">
        <v>37.5</v>
      </c>
      <c r="AG13" s="45">
        <v>96</v>
      </c>
      <c r="AH13" s="76" t="s">
        <v>11030</v>
      </c>
      <c r="AI13" s="76" t="s">
        <v>618</v>
      </c>
      <c r="AJ13" s="76"/>
      <c r="AK13" s="80" t="s">
        <v>11083</v>
      </c>
      <c r="AL13" s="80" t="s">
        <v>1210</v>
      </c>
      <c r="AM13" s="80" t="s">
        <v>328</v>
      </c>
      <c r="AN13" s="80"/>
      <c r="AO13" s="80" t="s">
        <v>11205</v>
      </c>
    </row>
    <row r="14" spans="1:41" ht="15">
      <c r="A14" s="61" t="s">
        <v>2360</v>
      </c>
      <c r="B14" s="62" t="s">
        <v>2424</v>
      </c>
      <c r="C14" s="62" t="s">
        <v>56</v>
      </c>
      <c r="D14" s="104"/>
      <c r="E14" s="11"/>
      <c r="F14" s="12" t="s">
        <v>11662</v>
      </c>
      <c r="G14" s="60"/>
      <c r="H14" s="60"/>
      <c r="I14" s="105">
        <v>14</v>
      </c>
      <c r="J14" s="74"/>
      <c r="K14" s="45">
        <v>3</v>
      </c>
      <c r="L14" s="45">
        <v>2</v>
      </c>
      <c r="M14" s="45">
        <v>0</v>
      </c>
      <c r="N14" s="45">
        <v>2</v>
      </c>
      <c r="O14" s="45">
        <v>0</v>
      </c>
      <c r="P14" s="46">
        <v>0</v>
      </c>
      <c r="Q14" s="46">
        <v>0</v>
      </c>
      <c r="R14" s="45">
        <v>1</v>
      </c>
      <c r="S14" s="45">
        <v>0</v>
      </c>
      <c r="T14" s="45">
        <v>3</v>
      </c>
      <c r="U14" s="45">
        <v>2</v>
      </c>
      <c r="V14" s="45">
        <v>2</v>
      </c>
      <c r="W14" s="46">
        <v>0.888889</v>
      </c>
      <c r="X14" s="46">
        <v>0.3333333333333333</v>
      </c>
      <c r="Y14" s="45">
        <v>1</v>
      </c>
      <c r="Z14" s="46">
        <v>1.1627906976744187</v>
      </c>
      <c r="AA14" s="45">
        <v>7</v>
      </c>
      <c r="AB14" s="46">
        <v>8.13953488372093</v>
      </c>
      <c r="AC14" s="45">
        <v>0</v>
      </c>
      <c r="AD14" s="46">
        <v>0</v>
      </c>
      <c r="AE14" s="45">
        <v>38</v>
      </c>
      <c r="AF14" s="46">
        <v>44.18604651162791</v>
      </c>
      <c r="AG14" s="45">
        <v>86</v>
      </c>
      <c r="AH14" s="76"/>
      <c r="AI14" s="76"/>
      <c r="AJ14" s="76" t="s">
        <v>595</v>
      </c>
      <c r="AK14" s="80" t="s">
        <v>11084</v>
      </c>
      <c r="AL14" s="80" t="s">
        <v>1210</v>
      </c>
      <c r="AM14" s="80"/>
      <c r="AN14" s="80" t="s">
        <v>417</v>
      </c>
      <c r="AO14" s="80" t="s">
        <v>11206</v>
      </c>
    </row>
    <row r="15" spans="1:41" ht="15">
      <c r="A15" s="61" t="s">
        <v>2361</v>
      </c>
      <c r="B15" s="62" t="s">
        <v>2413</v>
      </c>
      <c r="C15" s="62" t="s">
        <v>59</v>
      </c>
      <c r="D15" s="104"/>
      <c r="E15" s="11"/>
      <c r="F15" s="12" t="s">
        <v>2361</v>
      </c>
      <c r="G15" s="60"/>
      <c r="H15" s="60"/>
      <c r="I15" s="105">
        <v>15</v>
      </c>
      <c r="J15" s="74"/>
      <c r="K15" s="45">
        <v>3</v>
      </c>
      <c r="L15" s="45">
        <v>2</v>
      </c>
      <c r="M15" s="45">
        <v>0</v>
      </c>
      <c r="N15" s="45">
        <v>2</v>
      </c>
      <c r="O15" s="45">
        <v>0</v>
      </c>
      <c r="P15" s="46">
        <v>0</v>
      </c>
      <c r="Q15" s="46">
        <v>0</v>
      </c>
      <c r="R15" s="45">
        <v>1</v>
      </c>
      <c r="S15" s="45">
        <v>0</v>
      </c>
      <c r="T15" s="45">
        <v>3</v>
      </c>
      <c r="U15" s="45">
        <v>2</v>
      </c>
      <c r="V15" s="45">
        <v>2</v>
      </c>
      <c r="W15" s="46">
        <v>0.888889</v>
      </c>
      <c r="X15" s="46">
        <v>0.3333333333333333</v>
      </c>
      <c r="Y15" s="45">
        <v>0</v>
      </c>
      <c r="Z15" s="46">
        <v>0</v>
      </c>
      <c r="AA15" s="45">
        <v>2</v>
      </c>
      <c r="AB15" s="46">
        <v>13.333333333333334</v>
      </c>
      <c r="AC15" s="45">
        <v>0</v>
      </c>
      <c r="AD15" s="46">
        <v>0</v>
      </c>
      <c r="AE15" s="45">
        <v>8</v>
      </c>
      <c r="AF15" s="46">
        <v>53.333333333333336</v>
      </c>
      <c r="AG15" s="45">
        <v>15</v>
      </c>
      <c r="AH15" s="76"/>
      <c r="AI15" s="76"/>
      <c r="AJ15" s="76"/>
      <c r="AK15" s="80" t="s">
        <v>1210</v>
      </c>
      <c r="AL15" s="80" t="s">
        <v>1210</v>
      </c>
      <c r="AM15" s="80" t="s">
        <v>413</v>
      </c>
      <c r="AN15" s="80" t="s">
        <v>412</v>
      </c>
      <c r="AO15" s="80" t="s">
        <v>11207</v>
      </c>
    </row>
    <row r="16" spans="1:41" ht="15">
      <c r="A16" s="61" t="s">
        <v>2362</v>
      </c>
      <c r="B16" s="62" t="s">
        <v>2414</v>
      </c>
      <c r="C16" s="62" t="s">
        <v>59</v>
      </c>
      <c r="D16" s="104"/>
      <c r="E16" s="11"/>
      <c r="F16" s="12" t="s">
        <v>11663</v>
      </c>
      <c r="G16" s="60"/>
      <c r="H16" s="60"/>
      <c r="I16" s="105">
        <v>16</v>
      </c>
      <c r="J16" s="74"/>
      <c r="K16" s="45">
        <v>3</v>
      </c>
      <c r="L16" s="45">
        <v>2</v>
      </c>
      <c r="M16" s="45">
        <v>2</v>
      </c>
      <c r="N16" s="45">
        <v>4</v>
      </c>
      <c r="O16" s="45">
        <v>2</v>
      </c>
      <c r="P16" s="46">
        <v>0</v>
      </c>
      <c r="Q16" s="46">
        <v>0</v>
      </c>
      <c r="R16" s="45">
        <v>1</v>
      </c>
      <c r="S16" s="45">
        <v>0</v>
      </c>
      <c r="T16" s="45">
        <v>3</v>
      </c>
      <c r="U16" s="45">
        <v>4</v>
      </c>
      <c r="V16" s="45">
        <v>2</v>
      </c>
      <c r="W16" s="46">
        <v>0.888889</v>
      </c>
      <c r="X16" s="46">
        <v>0.3333333333333333</v>
      </c>
      <c r="Y16" s="45">
        <v>1</v>
      </c>
      <c r="Z16" s="46">
        <v>1.6129032258064515</v>
      </c>
      <c r="AA16" s="45">
        <v>6</v>
      </c>
      <c r="AB16" s="46">
        <v>9.67741935483871</v>
      </c>
      <c r="AC16" s="45">
        <v>0</v>
      </c>
      <c r="AD16" s="46">
        <v>0</v>
      </c>
      <c r="AE16" s="45">
        <v>24</v>
      </c>
      <c r="AF16" s="46">
        <v>38.70967741935484</v>
      </c>
      <c r="AG16" s="45">
        <v>62</v>
      </c>
      <c r="AH16" s="76"/>
      <c r="AI16" s="76"/>
      <c r="AJ16" s="76"/>
      <c r="AK16" s="80" t="s">
        <v>11085</v>
      </c>
      <c r="AL16" s="80" t="s">
        <v>1210</v>
      </c>
      <c r="AM16" s="80" t="s">
        <v>11170</v>
      </c>
      <c r="AN16" s="80" t="s">
        <v>11181</v>
      </c>
      <c r="AO16" s="80" t="s">
        <v>11208</v>
      </c>
    </row>
    <row r="17" spans="1:41" ht="15">
      <c r="A17" s="61" t="s">
        <v>2363</v>
      </c>
      <c r="B17" s="62" t="s">
        <v>2415</v>
      </c>
      <c r="C17" s="62" t="s">
        <v>59</v>
      </c>
      <c r="D17" s="104"/>
      <c r="E17" s="11"/>
      <c r="F17" s="12" t="s">
        <v>11664</v>
      </c>
      <c r="G17" s="60"/>
      <c r="H17" s="60"/>
      <c r="I17" s="105">
        <v>17</v>
      </c>
      <c r="J17" s="74"/>
      <c r="K17" s="45">
        <v>3</v>
      </c>
      <c r="L17" s="45">
        <v>3</v>
      </c>
      <c r="M17" s="45">
        <v>0</v>
      </c>
      <c r="N17" s="45">
        <v>3</v>
      </c>
      <c r="O17" s="45">
        <v>1</v>
      </c>
      <c r="P17" s="46">
        <v>0</v>
      </c>
      <c r="Q17" s="46">
        <v>0</v>
      </c>
      <c r="R17" s="45">
        <v>1</v>
      </c>
      <c r="S17" s="45">
        <v>0</v>
      </c>
      <c r="T17" s="45">
        <v>3</v>
      </c>
      <c r="U17" s="45">
        <v>3</v>
      </c>
      <c r="V17" s="45">
        <v>2</v>
      </c>
      <c r="W17" s="46">
        <v>0.888889</v>
      </c>
      <c r="X17" s="46">
        <v>0.3333333333333333</v>
      </c>
      <c r="Y17" s="45">
        <v>0</v>
      </c>
      <c r="Z17" s="46">
        <v>0</v>
      </c>
      <c r="AA17" s="45">
        <v>2</v>
      </c>
      <c r="AB17" s="46">
        <v>5.405405405405405</v>
      </c>
      <c r="AC17" s="45">
        <v>0</v>
      </c>
      <c r="AD17" s="46">
        <v>0</v>
      </c>
      <c r="AE17" s="45">
        <v>18</v>
      </c>
      <c r="AF17" s="46">
        <v>48.648648648648646</v>
      </c>
      <c r="AG17" s="45">
        <v>37</v>
      </c>
      <c r="AH17" s="76" t="s">
        <v>10994</v>
      </c>
      <c r="AI17" s="76" t="s">
        <v>614</v>
      </c>
      <c r="AJ17" s="76"/>
      <c r="AK17" s="80" t="s">
        <v>2441</v>
      </c>
      <c r="AL17" s="80" t="s">
        <v>1210</v>
      </c>
      <c r="AM17" s="80" t="s">
        <v>1290</v>
      </c>
      <c r="AN17" s="80" t="s">
        <v>11182</v>
      </c>
      <c r="AO17" s="80" t="s">
        <v>11209</v>
      </c>
    </row>
    <row r="18" spans="1:41" ht="15">
      <c r="A18" s="61" t="s">
        <v>2364</v>
      </c>
      <c r="B18" s="62" t="s">
        <v>2416</v>
      </c>
      <c r="C18" s="62" t="s">
        <v>59</v>
      </c>
      <c r="D18" s="104"/>
      <c r="E18" s="11"/>
      <c r="F18" s="12" t="s">
        <v>11665</v>
      </c>
      <c r="G18" s="60"/>
      <c r="H18" s="60"/>
      <c r="I18" s="105">
        <v>18</v>
      </c>
      <c r="J18" s="74"/>
      <c r="K18" s="45">
        <v>3</v>
      </c>
      <c r="L18" s="45">
        <v>2</v>
      </c>
      <c r="M18" s="45">
        <v>0</v>
      </c>
      <c r="N18" s="45">
        <v>2</v>
      </c>
      <c r="O18" s="45">
        <v>0</v>
      </c>
      <c r="P18" s="46">
        <v>0</v>
      </c>
      <c r="Q18" s="46">
        <v>0</v>
      </c>
      <c r="R18" s="45">
        <v>1</v>
      </c>
      <c r="S18" s="45">
        <v>0</v>
      </c>
      <c r="T18" s="45">
        <v>3</v>
      </c>
      <c r="U18" s="45">
        <v>2</v>
      </c>
      <c r="V18" s="45">
        <v>2</v>
      </c>
      <c r="W18" s="46">
        <v>0.888889</v>
      </c>
      <c r="X18" s="46">
        <v>0.3333333333333333</v>
      </c>
      <c r="Y18" s="45">
        <v>3</v>
      </c>
      <c r="Z18" s="46">
        <v>6.382978723404255</v>
      </c>
      <c r="AA18" s="45">
        <v>4</v>
      </c>
      <c r="AB18" s="46">
        <v>8.51063829787234</v>
      </c>
      <c r="AC18" s="45">
        <v>0</v>
      </c>
      <c r="AD18" s="46">
        <v>0</v>
      </c>
      <c r="AE18" s="45">
        <v>20</v>
      </c>
      <c r="AF18" s="46">
        <v>42.5531914893617</v>
      </c>
      <c r="AG18" s="45">
        <v>47</v>
      </c>
      <c r="AH18" s="76"/>
      <c r="AI18" s="76"/>
      <c r="AJ18" s="76"/>
      <c r="AK18" s="80" t="s">
        <v>11086</v>
      </c>
      <c r="AL18" s="80" t="s">
        <v>1210</v>
      </c>
      <c r="AM18" s="80" t="s">
        <v>390</v>
      </c>
      <c r="AN18" s="80" t="s">
        <v>389</v>
      </c>
      <c r="AO18" s="80" t="s">
        <v>11210</v>
      </c>
    </row>
    <row r="19" spans="1:41" ht="15">
      <c r="A19" s="61" t="s">
        <v>2365</v>
      </c>
      <c r="B19" s="62" t="s">
        <v>2417</v>
      </c>
      <c r="C19" s="62" t="s">
        <v>59</v>
      </c>
      <c r="D19" s="104"/>
      <c r="E19" s="11"/>
      <c r="F19" s="12" t="s">
        <v>11666</v>
      </c>
      <c r="G19" s="60"/>
      <c r="H19" s="60"/>
      <c r="I19" s="105">
        <v>19</v>
      </c>
      <c r="J19" s="74"/>
      <c r="K19" s="45">
        <v>3</v>
      </c>
      <c r="L19" s="45">
        <v>2</v>
      </c>
      <c r="M19" s="45">
        <v>0</v>
      </c>
      <c r="N19" s="45">
        <v>2</v>
      </c>
      <c r="O19" s="45">
        <v>0</v>
      </c>
      <c r="P19" s="46">
        <v>0</v>
      </c>
      <c r="Q19" s="46">
        <v>0</v>
      </c>
      <c r="R19" s="45">
        <v>1</v>
      </c>
      <c r="S19" s="45">
        <v>0</v>
      </c>
      <c r="T19" s="45">
        <v>3</v>
      </c>
      <c r="U19" s="45">
        <v>2</v>
      </c>
      <c r="V19" s="45">
        <v>2</v>
      </c>
      <c r="W19" s="46">
        <v>0.888889</v>
      </c>
      <c r="X19" s="46">
        <v>0.3333333333333333</v>
      </c>
      <c r="Y19" s="45">
        <v>2</v>
      </c>
      <c r="Z19" s="46">
        <v>3.7735849056603774</v>
      </c>
      <c r="AA19" s="45">
        <v>1</v>
      </c>
      <c r="AB19" s="46">
        <v>1.8867924528301887</v>
      </c>
      <c r="AC19" s="45">
        <v>0</v>
      </c>
      <c r="AD19" s="46">
        <v>0</v>
      </c>
      <c r="AE19" s="45">
        <v>25</v>
      </c>
      <c r="AF19" s="46">
        <v>47.16981132075472</v>
      </c>
      <c r="AG19" s="45">
        <v>53</v>
      </c>
      <c r="AH19" s="76"/>
      <c r="AI19" s="76"/>
      <c r="AJ19" s="76"/>
      <c r="AK19" s="80" t="s">
        <v>2643</v>
      </c>
      <c r="AL19" s="80" t="s">
        <v>1210</v>
      </c>
      <c r="AM19" s="80" t="s">
        <v>381</v>
      </c>
      <c r="AN19" s="80" t="s">
        <v>380</v>
      </c>
      <c r="AO19" s="80" t="s">
        <v>11211</v>
      </c>
    </row>
    <row r="20" spans="1:41" ht="15">
      <c r="A20" s="61" t="s">
        <v>2366</v>
      </c>
      <c r="B20" s="62" t="s">
        <v>2418</v>
      </c>
      <c r="C20" s="62" t="s">
        <v>59</v>
      </c>
      <c r="D20" s="104"/>
      <c r="E20" s="11"/>
      <c r="F20" s="12" t="s">
        <v>2366</v>
      </c>
      <c r="G20" s="60"/>
      <c r="H20" s="60"/>
      <c r="I20" s="105">
        <v>20</v>
      </c>
      <c r="J20" s="74"/>
      <c r="K20" s="45">
        <v>3</v>
      </c>
      <c r="L20" s="45">
        <v>2</v>
      </c>
      <c r="M20" s="45">
        <v>0</v>
      </c>
      <c r="N20" s="45">
        <v>2</v>
      </c>
      <c r="O20" s="45">
        <v>0</v>
      </c>
      <c r="P20" s="46">
        <v>0</v>
      </c>
      <c r="Q20" s="46">
        <v>0</v>
      </c>
      <c r="R20" s="45">
        <v>1</v>
      </c>
      <c r="S20" s="45">
        <v>0</v>
      </c>
      <c r="T20" s="45">
        <v>3</v>
      </c>
      <c r="U20" s="45">
        <v>2</v>
      </c>
      <c r="V20" s="45">
        <v>2</v>
      </c>
      <c r="W20" s="46">
        <v>0.888889</v>
      </c>
      <c r="X20" s="46">
        <v>0.3333333333333333</v>
      </c>
      <c r="Y20" s="45">
        <v>1</v>
      </c>
      <c r="Z20" s="46">
        <v>2.1739130434782608</v>
      </c>
      <c r="AA20" s="45">
        <v>3</v>
      </c>
      <c r="AB20" s="46">
        <v>6.521739130434782</v>
      </c>
      <c r="AC20" s="45">
        <v>0</v>
      </c>
      <c r="AD20" s="46">
        <v>0</v>
      </c>
      <c r="AE20" s="45">
        <v>19</v>
      </c>
      <c r="AF20" s="46">
        <v>41.30434782608695</v>
      </c>
      <c r="AG20" s="45">
        <v>46</v>
      </c>
      <c r="AH20" s="76"/>
      <c r="AI20" s="76"/>
      <c r="AJ20" s="76"/>
      <c r="AK20" s="80" t="s">
        <v>1210</v>
      </c>
      <c r="AL20" s="80" t="s">
        <v>1210</v>
      </c>
      <c r="AM20" s="80" t="s">
        <v>371</v>
      </c>
      <c r="AN20" s="80" t="s">
        <v>370</v>
      </c>
      <c r="AO20" s="80" t="s">
        <v>11212</v>
      </c>
    </row>
    <row r="21" spans="1:41" ht="15">
      <c r="A21" s="61" t="s">
        <v>2367</v>
      </c>
      <c r="B21" s="62" t="s">
        <v>2419</v>
      </c>
      <c r="C21" s="62" t="s">
        <v>59</v>
      </c>
      <c r="D21" s="104"/>
      <c r="E21" s="11"/>
      <c r="F21" s="12" t="s">
        <v>11667</v>
      </c>
      <c r="G21" s="60"/>
      <c r="H21" s="60"/>
      <c r="I21" s="105">
        <v>21</v>
      </c>
      <c r="J21" s="74"/>
      <c r="K21" s="45">
        <v>3</v>
      </c>
      <c r="L21" s="45">
        <v>2</v>
      </c>
      <c r="M21" s="45">
        <v>0</v>
      </c>
      <c r="N21" s="45">
        <v>2</v>
      </c>
      <c r="O21" s="45">
        <v>0</v>
      </c>
      <c r="P21" s="46">
        <v>0</v>
      </c>
      <c r="Q21" s="46">
        <v>0</v>
      </c>
      <c r="R21" s="45">
        <v>1</v>
      </c>
      <c r="S21" s="45">
        <v>0</v>
      </c>
      <c r="T21" s="45">
        <v>3</v>
      </c>
      <c r="U21" s="45">
        <v>2</v>
      </c>
      <c r="V21" s="45">
        <v>2</v>
      </c>
      <c r="W21" s="46">
        <v>0.888889</v>
      </c>
      <c r="X21" s="46">
        <v>0.3333333333333333</v>
      </c>
      <c r="Y21" s="45">
        <v>0</v>
      </c>
      <c r="Z21" s="46">
        <v>0</v>
      </c>
      <c r="AA21" s="45">
        <v>6</v>
      </c>
      <c r="AB21" s="46">
        <v>11.320754716981131</v>
      </c>
      <c r="AC21" s="45">
        <v>0</v>
      </c>
      <c r="AD21" s="46">
        <v>0</v>
      </c>
      <c r="AE21" s="45">
        <v>19</v>
      </c>
      <c r="AF21" s="46">
        <v>35.84905660377358</v>
      </c>
      <c r="AG21" s="45">
        <v>53</v>
      </c>
      <c r="AH21" s="76"/>
      <c r="AI21" s="76"/>
      <c r="AJ21" s="76"/>
      <c r="AK21" s="80" t="s">
        <v>2623</v>
      </c>
      <c r="AL21" s="80" t="s">
        <v>1210</v>
      </c>
      <c r="AM21" s="80" t="s">
        <v>368</v>
      </c>
      <c r="AN21" s="80" t="s">
        <v>367</v>
      </c>
      <c r="AO21" s="80" t="s">
        <v>11213</v>
      </c>
    </row>
    <row r="22" spans="1:41" ht="15">
      <c r="A22" s="61" t="s">
        <v>2368</v>
      </c>
      <c r="B22" s="62" t="s">
        <v>2420</v>
      </c>
      <c r="C22" s="62" t="s">
        <v>59</v>
      </c>
      <c r="D22" s="104"/>
      <c r="E22" s="11"/>
      <c r="F22" s="12" t="s">
        <v>2368</v>
      </c>
      <c r="G22" s="60"/>
      <c r="H22" s="60"/>
      <c r="I22" s="105">
        <v>22</v>
      </c>
      <c r="J22" s="74"/>
      <c r="K22" s="45">
        <v>3</v>
      </c>
      <c r="L22" s="45">
        <v>2</v>
      </c>
      <c r="M22" s="45">
        <v>0</v>
      </c>
      <c r="N22" s="45">
        <v>2</v>
      </c>
      <c r="O22" s="45">
        <v>0</v>
      </c>
      <c r="P22" s="46">
        <v>0</v>
      </c>
      <c r="Q22" s="46">
        <v>0</v>
      </c>
      <c r="R22" s="45">
        <v>1</v>
      </c>
      <c r="S22" s="45">
        <v>0</v>
      </c>
      <c r="T22" s="45">
        <v>3</v>
      </c>
      <c r="U22" s="45">
        <v>2</v>
      </c>
      <c r="V22" s="45">
        <v>2</v>
      </c>
      <c r="W22" s="46">
        <v>0.888889</v>
      </c>
      <c r="X22" s="46">
        <v>0.3333333333333333</v>
      </c>
      <c r="Y22" s="45">
        <v>0</v>
      </c>
      <c r="Z22" s="46">
        <v>0</v>
      </c>
      <c r="AA22" s="45">
        <v>2</v>
      </c>
      <c r="AB22" s="46">
        <v>9.090909090909092</v>
      </c>
      <c r="AC22" s="45">
        <v>0</v>
      </c>
      <c r="AD22" s="46">
        <v>0</v>
      </c>
      <c r="AE22" s="45">
        <v>7</v>
      </c>
      <c r="AF22" s="46">
        <v>31.818181818181817</v>
      </c>
      <c r="AG22" s="45">
        <v>22</v>
      </c>
      <c r="AH22" s="76"/>
      <c r="AI22" s="76"/>
      <c r="AJ22" s="76"/>
      <c r="AK22" s="80" t="s">
        <v>1210</v>
      </c>
      <c r="AL22" s="80" t="s">
        <v>1210</v>
      </c>
      <c r="AM22" s="80" t="s">
        <v>366</v>
      </c>
      <c r="AN22" s="80" t="s">
        <v>365</v>
      </c>
      <c r="AO22" s="80" t="s">
        <v>11214</v>
      </c>
    </row>
    <row r="23" spans="1:41" ht="15">
      <c r="A23" s="61" t="s">
        <v>2369</v>
      </c>
      <c r="B23" s="62" t="s">
        <v>2421</v>
      </c>
      <c r="C23" s="62" t="s">
        <v>59</v>
      </c>
      <c r="D23" s="104"/>
      <c r="E23" s="11"/>
      <c r="F23" s="12" t="s">
        <v>11668</v>
      </c>
      <c r="G23" s="60"/>
      <c r="H23" s="60"/>
      <c r="I23" s="105">
        <v>23</v>
      </c>
      <c r="J23" s="74"/>
      <c r="K23" s="45">
        <v>3</v>
      </c>
      <c r="L23" s="45">
        <v>2</v>
      </c>
      <c r="M23" s="45">
        <v>0</v>
      </c>
      <c r="N23" s="45">
        <v>2</v>
      </c>
      <c r="O23" s="45">
        <v>0</v>
      </c>
      <c r="P23" s="46">
        <v>0</v>
      </c>
      <c r="Q23" s="46">
        <v>0</v>
      </c>
      <c r="R23" s="45">
        <v>1</v>
      </c>
      <c r="S23" s="45">
        <v>0</v>
      </c>
      <c r="T23" s="45">
        <v>3</v>
      </c>
      <c r="U23" s="45">
        <v>2</v>
      </c>
      <c r="V23" s="45">
        <v>2</v>
      </c>
      <c r="W23" s="46">
        <v>0.888889</v>
      </c>
      <c r="X23" s="46">
        <v>0.3333333333333333</v>
      </c>
      <c r="Y23" s="45">
        <v>0</v>
      </c>
      <c r="Z23" s="46">
        <v>0</v>
      </c>
      <c r="AA23" s="45">
        <v>4</v>
      </c>
      <c r="AB23" s="46">
        <v>9.523809523809524</v>
      </c>
      <c r="AC23" s="45">
        <v>0</v>
      </c>
      <c r="AD23" s="46">
        <v>0</v>
      </c>
      <c r="AE23" s="45">
        <v>20</v>
      </c>
      <c r="AF23" s="46">
        <v>47.61904761904762</v>
      </c>
      <c r="AG23" s="45">
        <v>42</v>
      </c>
      <c r="AH23" s="76" t="s">
        <v>11031</v>
      </c>
      <c r="AI23" s="76" t="s">
        <v>600</v>
      </c>
      <c r="AJ23" s="76"/>
      <c r="AK23" s="80" t="s">
        <v>2463</v>
      </c>
      <c r="AL23" s="80" t="s">
        <v>1210</v>
      </c>
      <c r="AM23" s="80" t="s">
        <v>357</v>
      </c>
      <c r="AN23" s="80" t="s">
        <v>356</v>
      </c>
      <c r="AO23" s="80" t="s">
        <v>11215</v>
      </c>
    </row>
    <row r="24" spans="1:41" ht="15">
      <c r="A24" s="61" t="s">
        <v>2370</v>
      </c>
      <c r="B24" s="62" t="s">
        <v>2422</v>
      </c>
      <c r="C24" s="62" t="s">
        <v>59</v>
      </c>
      <c r="D24" s="104"/>
      <c r="E24" s="11"/>
      <c r="F24" s="12" t="s">
        <v>11669</v>
      </c>
      <c r="G24" s="60"/>
      <c r="H24" s="60"/>
      <c r="I24" s="105">
        <v>24</v>
      </c>
      <c r="J24" s="74"/>
      <c r="K24" s="45">
        <v>3</v>
      </c>
      <c r="L24" s="45">
        <v>2</v>
      </c>
      <c r="M24" s="45">
        <v>0</v>
      </c>
      <c r="N24" s="45">
        <v>2</v>
      </c>
      <c r="O24" s="45">
        <v>0</v>
      </c>
      <c r="P24" s="46">
        <v>0</v>
      </c>
      <c r="Q24" s="46">
        <v>0</v>
      </c>
      <c r="R24" s="45">
        <v>1</v>
      </c>
      <c r="S24" s="45">
        <v>0</v>
      </c>
      <c r="T24" s="45">
        <v>3</v>
      </c>
      <c r="U24" s="45">
        <v>2</v>
      </c>
      <c r="V24" s="45">
        <v>2</v>
      </c>
      <c r="W24" s="46">
        <v>0.888889</v>
      </c>
      <c r="X24" s="46">
        <v>0.3333333333333333</v>
      </c>
      <c r="Y24" s="45">
        <v>0</v>
      </c>
      <c r="Z24" s="46">
        <v>0</v>
      </c>
      <c r="AA24" s="45">
        <v>2</v>
      </c>
      <c r="AB24" s="46">
        <v>3.6363636363636362</v>
      </c>
      <c r="AC24" s="45">
        <v>0</v>
      </c>
      <c r="AD24" s="46">
        <v>0</v>
      </c>
      <c r="AE24" s="45">
        <v>24</v>
      </c>
      <c r="AF24" s="46">
        <v>43.63636363636363</v>
      </c>
      <c r="AG24" s="45">
        <v>55</v>
      </c>
      <c r="AH24" s="76"/>
      <c r="AI24" s="76"/>
      <c r="AJ24" s="76"/>
      <c r="AK24" s="80" t="s">
        <v>11087</v>
      </c>
      <c r="AL24" s="80" t="s">
        <v>1210</v>
      </c>
      <c r="AM24" s="80" t="s">
        <v>348</v>
      </c>
      <c r="AN24" s="80" t="s">
        <v>347</v>
      </c>
      <c r="AO24" s="80" t="s">
        <v>11216</v>
      </c>
    </row>
    <row r="25" spans="1:41" ht="15">
      <c r="A25" s="61" t="s">
        <v>2371</v>
      </c>
      <c r="B25" s="62" t="s">
        <v>2423</v>
      </c>
      <c r="C25" s="62" t="s">
        <v>59</v>
      </c>
      <c r="D25" s="104"/>
      <c r="E25" s="11"/>
      <c r="F25" s="12" t="s">
        <v>2371</v>
      </c>
      <c r="G25" s="60"/>
      <c r="H25" s="60"/>
      <c r="I25" s="105">
        <v>25</v>
      </c>
      <c r="J25" s="74"/>
      <c r="K25" s="45">
        <v>3</v>
      </c>
      <c r="L25" s="45">
        <v>2</v>
      </c>
      <c r="M25" s="45">
        <v>0</v>
      </c>
      <c r="N25" s="45">
        <v>2</v>
      </c>
      <c r="O25" s="45">
        <v>0</v>
      </c>
      <c r="P25" s="46">
        <v>0</v>
      </c>
      <c r="Q25" s="46">
        <v>0</v>
      </c>
      <c r="R25" s="45">
        <v>1</v>
      </c>
      <c r="S25" s="45">
        <v>0</v>
      </c>
      <c r="T25" s="45">
        <v>3</v>
      </c>
      <c r="U25" s="45">
        <v>2</v>
      </c>
      <c r="V25" s="45">
        <v>2</v>
      </c>
      <c r="W25" s="46">
        <v>0.888889</v>
      </c>
      <c r="X25" s="46">
        <v>0.3333333333333333</v>
      </c>
      <c r="Y25" s="45">
        <v>0</v>
      </c>
      <c r="Z25" s="46">
        <v>0</v>
      </c>
      <c r="AA25" s="45">
        <v>2</v>
      </c>
      <c r="AB25" s="46">
        <v>10</v>
      </c>
      <c r="AC25" s="45">
        <v>0</v>
      </c>
      <c r="AD25" s="46">
        <v>0</v>
      </c>
      <c r="AE25" s="45">
        <v>12</v>
      </c>
      <c r="AF25" s="46">
        <v>60</v>
      </c>
      <c r="AG25" s="45">
        <v>20</v>
      </c>
      <c r="AH25" s="76"/>
      <c r="AI25" s="76"/>
      <c r="AJ25" s="76"/>
      <c r="AK25" s="80" t="s">
        <v>1210</v>
      </c>
      <c r="AL25" s="80" t="s">
        <v>1210</v>
      </c>
      <c r="AM25" s="80" t="s">
        <v>341</v>
      </c>
      <c r="AN25" s="80" t="s">
        <v>340</v>
      </c>
      <c r="AO25" s="80" t="s">
        <v>11217</v>
      </c>
    </row>
    <row r="26" spans="1:41" ht="15">
      <c r="A26" s="61" t="s">
        <v>2372</v>
      </c>
      <c r="B26" s="62" t="s">
        <v>2424</v>
      </c>
      <c r="C26" s="62" t="s">
        <v>59</v>
      </c>
      <c r="D26" s="104"/>
      <c r="E26" s="11"/>
      <c r="F26" s="12" t="s">
        <v>11670</v>
      </c>
      <c r="G26" s="60"/>
      <c r="H26" s="60"/>
      <c r="I26" s="105">
        <v>26</v>
      </c>
      <c r="J26" s="74"/>
      <c r="K26" s="45">
        <v>2</v>
      </c>
      <c r="L26" s="45">
        <v>3</v>
      </c>
      <c r="M26" s="45">
        <v>0</v>
      </c>
      <c r="N26" s="45">
        <v>3</v>
      </c>
      <c r="O26" s="45">
        <v>2</v>
      </c>
      <c r="P26" s="46">
        <v>0</v>
      </c>
      <c r="Q26" s="46">
        <v>0</v>
      </c>
      <c r="R26" s="45">
        <v>1</v>
      </c>
      <c r="S26" s="45">
        <v>0</v>
      </c>
      <c r="T26" s="45">
        <v>2</v>
      </c>
      <c r="U26" s="45">
        <v>3</v>
      </c>
      <c r="V26" s="45">
        <v>1</v>
      </c>
      <c r="W26" s="46">
        <v>0.5</v>
      </c>
      <c r="X26" s="46">
        <v>0.5</v>
      </c>
      <c r="Y26" s="45">
        <v>0</v>
      </c>
      <c r="Z26" s="46">
        <v>0</v>
      </c>
      <c r="AA26" s="45">
        <v>8</v>
      </c>
      <c r="AB26" s="46">
        <v>9.411764705882353</v>
      </c>
      <c r="AC26" s="45">
        <v>0</v>
      </c>
      <c r="AD26" s="46">
        <v>0</v>
      </c>
      <c r="AE26" s="45">
        <v>49</v>
      </c>
      <c r="AF26" s="46">
        <v>57.64705882352941</v>
      </c>
      <c r="AG26" s="45">
        <v>85</v>
      </c>
      <c r="AH26" s="76" t="s">
        <v>10987</v>
      </c>
      <c r="AI26" s="76" t="s">
        <v>619</v>
      </c>
      <c r="AJ26" s="76"/>
      <c r="AK26" s="80" t="s">
        <v>11088</v>
      </c>
      <c r="AL26" s="80" t="s">
        <v>11103</v>
      </c>
      <c r="AM26" s="80"/>
      <c r="AN26" s="80" t="s">
        <v>335</v>
      </c>
      <c r="AO26" s="80" t="s">
        <v>11218</v>
      </c>
    </row>
    <row r="27" spans="1:41" ht="15">
      <c r="A27" s="61" t="s">
        <v>2373</v>
      </c>
      <c r="B27" s="62" t="s">
        <v>2413</v>
      </c>
      <c r="C27" s="62" t="s">
        <v>61</v>
      </c>
      <c r="D27" s="104"/>
      <c r="E27" s="11"/>
      <c r="F27" s="12" t="s">
        <v>11671</v>
      </c>
      <c r="G27" s="60"/>
      <c r="H27" s="60"/>
      <c r="I27" s="105">
        <v>27</v>
      </c>
      <c r="J27" s="74"/>
      <c r="K27" s="45">
        <v>2</v>
      </c>
      <c r="L27" s="45">
        <v>1</v>
      </c>
      <c r="M27" s="45">
        <v>0</v>
      </c>
      <c r="N27" s="45">
        <v>1</v>
      </c>
      <c r="O27" s="45">
        <v>0</v>
      </c>
      <c r="P27" s="46">
        <v>0</v>
      </c>
      <c r="Q27" s="46">
        <v>0</v>
      </c>
      <c r="R27" s="45">
        <v>1</v>
      </c>
      <c r="S27" s="45">
        <v>0</v>
      </c>
      <c r="T27" s="45">
        <v>2</v>
      </c>
      <c r="U27" s="45">
        <v>1</v>
      </c>
      <c r="V27" s="45">
        <v>1</v>
      </c>
      <c r="W27" s="46">
        <v>0.5</v>
      </c>
      <c r="X27" s="46">
        <v>0.5</v>
      </c>
      <c r="Y27" s="45">
        <v>0</v>
      </c>
      <c r="Z27" s="46">
        <v>0</v>
      </c>
      <c r="AA27" s="45">
        <v>3</v>
      </c>
      <c r="AB27" s="46">
        <v>6.818181818181818</v>
      </c>
      <c r="AC27" s="45">
        <v>0</v>
      </c>
      <c r="AD27" s="46">
        <v>0</v>
      </c>
      <c r="AE27" s="45">
        <v>20</v>
      </c>
      <c r="AF27" s="46">
        <v>45.45454545454545</v>
      </c>
      <c r="AG27" s="45">
        <v>44</v>
      </c>
      <c r="AH27" s="76"/>
      <c r="AI27" s="76"/>
      <c r="AJ27" s="76"/>
      <c r="AK27" s="80" t="s">
        <v>2483</v>
      </c>
      <c r="AL27" s="80" t="s">
        <v>1210</v>
      </c>
      <c r="AM27" s="80" t="s">
        <v>432</v>
      </c>
      <c r="AN27" s="80"/>
      <c r="AO27" s="80" t="s">
        <v>11219</v>
      </c>
    </row>
    <row r="28" spans="1:41" ht="15">
      <c r="A28" s="61" t="s">
        <v>2374</v>
      </c>
      <c r="B28" s="62" t="s">
        <v>2414</v>
      </c>
      <c r="C28" s="62" t="s">
        <v>61</v>
      </c>
      <c r="D28" s="104"/>
      <c r="E28" s="11"/>
      <c r="F28" s="12" t="s">
        <v>2374</v>
      </c>
      <c r="G28" s="60"/>
      <c r="H28" s="60"/>
      <c r="I28" s="105">
        <v>28</v>
      </c>
      <c r="J28" s="74"/>
      <c r="K28" s="45">
        <v>2</v>
      </c>
      <c r="L28" s="45">
        <v>1</v>
      </c>
      <c r="M28" s="45">
        <v>0</v>
      </c>
      <c r="N28" s="45">
        <v>1</v>
      </c>
      <c r="O28" s="45">
        <v>0</v>
      </c>
      <c r="P28" s="46">
        <v>0</v>
      </c>
      <c r="Q28" s="46">
        <v>0</v>
      </c>
      <c r="R28" s="45">
        <v>1</v>
      </c>
      <c r="S28" s="45">
        <v>0</v>
      </c>
      <c r="T28" s="45">
        <v>2</v>
      </c>
      <c r="U28" s="45">
        <v>1</v>
      </c>
      <c r="V28" s="45">
        <v>1</v>
      </c>
      <c r="W28" s="46">
        <v>0.5</v>
      </c>
      <c r="X28" s="46">
        <v>0.5</v>
      </c>
      <c r="Y28" s="45">
        <v>1</v>
      </c>
      <c r="Z28" s="46">
        <v>3.4482758620689653</v>
      </c>
      <c r="AA28" s="45">
        <v>2</v>
      </c>
      <c r="AB28" s="46">
        <v>6.896551724137931</v>
      </c>
      <c r="AC28" s="45">
        <v>0</v>
      </c>
      <c r="AD28" s="46">
        <v>0</v>
      </c>
      <c r="AE28" s="45">
        <v>13</v>
      </c>
      <c r="AF28" s="46">
        <v>44.827586206896555</v>
      </c>
      <c r="AG28" s="45">
        <v>29</v>
      </c>
      <c r="AH28" s="76"/>
      <c r="AI28" s="76"/>
      <c r="AJ28" s="76"/>
      <c r="AK28" s="80" t="s">
        <v>1210</v>
      </c>
      <c r="AL28" s="80" t="s">
        <v>1210</v>
      </c>
      <c r="AM28" s="80" t="s">
        <v>431</v>
      </c>
      <c r="AN28" s="80"/>
      <c r="AO28" s="80" t="s">
        <v>11220</v>
      </c>
    </row>
    <row r="29" spans="1:41" ht="15">
      <c r="A29" s="61" t="s">
        <v>2375</v>
      </c>
      <c r="B29" s="62" t="s">
        <v>2415</v>
      </c>
      <c r="C29" s="62" t="s">
        <v>61</v>
      </c>
      <c r="D29" s="104"/>
      <c r="E29" s="11"/>
      <c r="F29" s="12" t="s">
        <v>2375</v>
      </c>
      <c r="G29" s="60"/>
      <c r="H29" s="60"/>
      <c r="I29" s="105">
        <v>29</v>
      </c>
      <c r="J29" s="74"/>
      <c r="K29" s="45">
        <v>2</v>
      </c>
      <c r="L29" s="45">
        <v>1</v>
      </c>
      <c r="M29" s="45">
        <v>0</v>
      </c>
      <c r="N29" s="45">
        <v>1</v>
      </c>
      <c r="O29" s="45">
        <v>0</v>
      </c>
      <c r="P29" s="46">
        <v>0</v>
      </c>
      <c r="Q29" s="46">
        <v>0</v>
      </c>
      <c r="R29" s="45">
        <v>1</v>
      </c>
      <c r="S29" s="45">
        <v>0</v>
      </c>
      <c r="T29" s="45">
        <v>2</v>
      </c>
      <c r="U29" s="45">
        <v>1</v>
      </c>
      <c r="V29" s="45">
        <v>1</v>
      </c>
      <c r="W29" s="46">
        <v>0.5</v>
      </c>
      <c r="X29" s="46">
        <v>0.5</v>
      </c>
      <c r="Y29" s="45">
        <v>0</v>
      </c>
      <c r="Z29" s="46">
        <v>0</v>
      </c>
      <c r="AA29" s="45">
        <v>3</v>
      </c>
      <c r="AB29" s="46">
        <v>27.272727272727273</v>
      </c>
      <c r="AC29" s="45">
        <v>0</v>
      </c>
      <c r="AD29" s="46">
        <v>0</v>
      </c>
      <c r="AE29" s="45">
        <v>3</v>
      </c>
      <c r="AF29" s="46">
        <v>27.272727272727273</v>
      </c>
      <c r="AG29" s="45">
        <v>11</v>
      </c>
      <c r="AH29" s="76"/>
      <c r="AI29" s="76"/>
      <c r="AJ29" s="76"/>
      <c r="AK29" s="80" t="s">
        <v>1210</v>
      </c>
      <c r="AL29" s="80" t="s">
        <v>1210</v>
      </c>
      <c r="AM29" s="80"/>
      <c r="AN29" s="80"/>
      <c r="AO29" s="80" t="s">
        <v>11221</v>
      </c>
    </row>
    <row r="30" spans="1:41" ht="15">
      <c r="A30" s="61" t="s">
        <v>2376</v>
      </c>
      <c r="B30" s="62" t="s">
        <v>2416</v>
      </c>
      <c r="C30" s="62" t="s">
        <v>61</v>
      </c>
      <c r="D30" s="104"/>
      <c r="E30" s="11"/>
      <c r="F30" s="12" t="s">
        <v>2376</v>
      </c>
      <c r="G30" s="60"/>
      <c r="H30" s="60"/>
      <c r="I30" s="105">
        <v>30</v>
      </c>
      <c r="J30" s="74"/>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2</v>
      </c>
      <c r="AB30" s="46">
        <v>14.285714285714286</v>
      </c>
      <c r="AC30" s="45">
        <v>0</v>
      </c>
      <c r="AD30" s="46">
        <v>0</v>
      </c>
      <c r="AE30" s="45">
        <v>9</v>
      </c>
      <c r="AF30" s="46">
        <v>64.28571428571429</v>
      </c>
      <c r="AG30" s="45">
        <v>14</v>
      </c>
      <c r="AH30" s="76"/>
      <c r="AI30" s="76"/>
      <c r="AJ30" s="76"/>
      <c r="AK30" s="80" t="s">
        <v>1210</v>
      </c>
      <c r="AL30" s="80" t="s">
        <v>1210</v>
      </c>
      <c r="AM30" s="80" t="s">
        <v>429</v>
      </c>
      <c r="AN30" s="80"/>
      <c r="AO30" s="80" t="s">
        <v>11222</v>
      </c>
    </row>
    <row r="31" spans="1:41" ht="15">
      <c r="A31" s="61" t="s">
        <v>2377</v>
      </c>
      <c r="B31" s="62" t="s">
        <v>2417</v>
      </c>
      <c r="C31" s="62" t="s">
        <v>61</v>
      </c>
      <c r="D31" s="104"/>
      <c r="E31" s="11"/>
      <c r="F31" s="12" t="s">
        <v>2377</v>
      </c>
      <c r="G31" s="60"/>
      <c r="H31" s="60"/>
      <c r="I31" s="105">
        <v>31</v>
      </c>
      <c r="J31" s="74"/>
      <c r="K31" s="45">
        <v>2</v>
      </c>
      <c r="L31" s="45">
        <v>1</v>
      </c>
      <c r="M31" s="45">
        <v>0</v>
      </c>
      <c r="N31" s="45">
        <v>1</v>
      </c>
      <c r="O31" s="45">
        <v>0</v>
      </c>
      <c r="P31" s="46">
        <v>0</v>
      </c>
      <c r="Q31" s="46">
        <v>0</v>
      </c>
      <c r="R31" s="45">
        <v>1</v>
      </c>
      <c r="S31" s="45">
        <v>0</v>
      </c>
      <c r="T31" s="45">
        <v>2</v>
      </c>
      <c r="U31" s="45">
        <v>1</v>
      </c>
      <c r="V31" s="45">
        <v>1</v>
      </c>
      <c r="W31" s="46">
        <v>0.5</v>
      </c>
      <c r="X31" s="46">
        <v>0.5</v>
      </c>
      <c r="Y31" s="45">
        <v>2</v>
      </c>
      <c r="Z31" s="46">
        <v>3.5714285714285716</v>
      </c>
      <c r="AA31" s="45">
        <v>1</v>
      </c>
      <c r="AB31" s="46">
        <v>1.7857142857142858</v>
      </c>
      <c r="AC31" s="45">
        <v>0</v>
      </c>
      <c r="AD31" s="46">
        <v>0</v>
      </c>
      <c r="AE31" s="45">
        <v>23</v>
      </c>
      <c r="AF31" s="46">
        <v>41.07142857142857</v>
      </c>
      <c r="AG31" s="45">
        <v>56</v>
      </c>
      <c r="AH31" s="76"/>
      <c r="AI31" s="76"/>
      <c r="AJ31" s="76"/>
      <c r="AK31" s="80" t="s">
        <v>1210</v>
      </c>
      <c r="AL31" s="80" t="s">
        <v>1210</v>
      </c>
      <c r="AM31" s="80" t="s">
        <v>428</v>
      </c>
      <c r="AN31" s="80"/>
      <c r="AO31" s="80" t="s">
        <v>11223</v>
      </c>
    </row>
    <row r="32" spans="1:41" ht="15">
      <c r="A32" s="61" t="s">
        <v>2378</v>
      </c>
      <c r="B32" s="62" t="s">
        <v>2418</v>
      </c>
      <c r="C32" s="62" t="s">
        <v>61</v>
      </c>
      <c r="D32" s="104"/>
      <c r="E32" s="11"/>
      <c r="F32" s="12" t="s">
        <v>2378</v>
      </c>
      <c r="G32" s="60"/>
      <c r="H32" s="60"/>
      <c r="I32" s="105">
        <v>32</v>
      </c>
      <c r="J32" s="74"/>
      <c r="K32" s="45">
        <v>2</v>
      </c>
      <c r="L32" s="45">
        <v>1</v>
      </c>
      <c r="M32" s="45">
        <v>0</v>
      </c>
      <c r="N32" s="45">
        <v>1</v>
      </c>
      <c r="O32" s="45">
        <v>0</v>
      </c>
      <c r="P32" s="46">
        <v>0</v>
      </c>
      <c r="Q32" s="46">
        <v>0</v>
      </c>
      <c r="R32" s="45">
        <v>1</v>
      </c>
      <c r="S32" s="45">
        <v>0</v>
      </c>
      <c r="T32" s="45">
        <v>2</v>
      </c>
      <c r="U32" s="45">
        <v>1</v>
      </c>
      <c r="V32" s="45">
        <v>1</v>
      </c>
      <c r="W32" s="46">
        <v>0.5</v>
      </c>
      <c r="X32" s="46">
        <v>0.5</v>
      </c>
      <c r="Y32" s="45">
        <v>0</v>
      </c>
      <c r="Z32" s="46">
        <v>0</v>
      </c>
      <c r="AA32" s="45">
        <v>6</v>
      </c>
      <c r="AB32" s="46">
        <v>11.11111111111111</v>
      </c>
      <c r="AC32" s="45">
        <v>0</v>
      </c>
      <c r="AD32" s="46">
        <v>0</v>
      </c>
      <c r="AE32" s="45">
        <v>17</v>
      </c>
      <c r="AF32" s="46">
        <v>31.48148148148148</v>
      </c>
      <c r="AG32" s="45">
        <v>54</v>
      </c>
      <c r="AH32" s="76"/>
      <c r="AI32" s="76"/>
      <c r="AJ32" s="76"/>
      <c r="AK32" s="80" t="s">
        <v>1210</v>
      </c>
      <c r="AL32" s="80" t="s">
        <v>1210</v>
      </c>
      <c r="AM32" s="80" t="s">
        <v>427</v>
      </c>
      <c r="AN32" s="80"/>
      <c r="AO32" s="80" t="s">
        <v>11224</v>
      </c>
    </row>
    <row r="33" spans="1:41" ht="15">
      <c r="A33" s="61" t="s">
        <v>2379</v>
      </c>
      <c r="B33" s="62" t="s">
        <v>2419</v>
      </c>
      <c r="C33" s="62" t="s">
        <v>61</v>
      </c>
      <c r="D33" s="104"/>
      <c r="E33" s="11"/>
      <c r="F33" s="12" t="s">
        <v>11672</v>
      </c>
      <c r="G33" s="60"/>
      <c r="H33" s="60"/>
      <c r="I33" s="105">
        <v>33</v>
      </c>
      <c r="J33" s="74"/>
      <c r="K33" s="45">
        <v>2</v>
      </c>
      <c r="L33" s="45">
        <v>2</v>
      </c>
      <c r="M33" s="45">
        <v>0</v>
      </c>
      <c r="N33" s="45">
        <v>2</v>
      </c>
      <c r="O33" s="45">
        <v>1</v>
      </c>
      <c r="P33" s="46">
        <v>0</v>
      </c>
      <c r="Q33" s="46">
        <v>0</v>
      </c>
      <c r="R33" s="45">
        <v>1</v>
      </c>
      <c r="S33" s="45">
        <v>0</v>
      </c>
      <c r="T33" s="45">
        <v>2</v>
      </c>
      <c r="U33" s="45">
        <v>2</v>
      </c>
      <c r="V33" s="45">
        <v>1</v>
      </c>
      <c r="W33" s="46">
        <v>0.5</v>
      </c>
      <c r="X33" s="46">
        <v>0.5</v>
      </c>
      <c r="Y33" s="45">
        <v>0</v>
      </c>
      <c r="Z33" s="46">
        <v>0</v>
      </c>
      <c r="AA33" s="45">
        <v>9</v>
      </c>
      <c r="AB33" s="46">
        <v>12.162162162162161</v>
      </c>
      <c r="AC33" s="45">
        <v>0</v>
      </c>
      <c r="AD33" s="46">
        <v>0</v>
      </c>
      <c r="AE33" s="45">
        <v>32</v>
      </c>
      <c r="AF33" s="46">
        <v>43.24324324324324</v>
      </c>
      <c r="AG33" s="45">
        <v>74</v>
      </c>
      <c r="AH33" s="76"/>
      <c r="AI33" s="76"/>
      <c r="AJ33" s="76"/>
      <c r="AK33" s="80" t="s">
        <v>2442</v>
      </c>
      <c r="AL33" s="80" t="s">
        <v>1210</v>
      </c>
      <c r="AM33" s="80"/>
      <c r="AN33" s="80"/>
      <c r="AO33" s="80" t="s">
        <v>11225</v>
      </c>
    </row>
    <row r="34" spans="1:41" ht="15">
      <c r="A34" s="61" t="s">
        <v>2380</v>
      </c>
      <c r="B34" s="62" t="s">
        <v>2420</v>
      </c>
      <c r="C34" s="62" t="s">
        <v>61</v>
      </c>
      <c r="D34" s="104"/>
      <c r="E34" s="11"/>
      <c r="F34" s="12" t="s">
        <v>2380</v>
      </c>
      <c r="G34" s="60"/>
      <c r="H34" s="60"/>
      <c r="I34" s="105">
        <v>34</v>
      </c>
      <c r="J34" s="74"/>
      <c r="K34" s="45">
        <v>2</v>
      </c>
      <c r="L34" s="45">
        <v>1</v>
      </c>
      <c r="M34" s="45">
        <v>0</v>
      </c>
      <c r="N34" s="45">
        <v>1</v>
      </c>
      <c r="O34" s="45">
        <v>0</v>
      </c>
      <c r="P34" s="46">
        <v>0</v>
      </c>
      <c r="Q34" s="46">
        <v>0</v>
      </c>
      <c r="R34" s="45">
        <v>1</v>
      </c>
      <c r="S34" s="45">
        <v>0</v>
      </c>
      <c r="T34" s="45">
        <v>2</v>
      </c>
      <c r="U34" s="45">
        <v>1</v>
      </c>
      <c r="V34" s="45">
        <v>1</v>
      </c>
      <c r="W34" s="46">
        <v>0.5</v>
      </c>
      <c r="X34" s="46">
        <v>0.5</v>
      </c>
      <c r="Y34" s="45">
        <v>1</v>
      </c>
      <c r="Z34" s="46">
        <v>5</v>
      </c>
      <c r="AA34" s="45">
        <v>3</v>
      </c>
      <c r="AB34" s="46">
        <v>15</v>
      </c>
      <c r="AC34" s="45">
        <v>0</v>
      </c>
      <c r="AD34" s="46">
        <v>0</v>
      </c>
      <c r="AE34" s="45">
        <v>5</v>
      </c>
      <c r="AF34" s="46">
        <v>25</v>
      </c>
      <c r="AG34" s="45">
        <v>20</v>
      </c>
      <c r="AH34" s="76"/>
      <c r="AI34" s="76"/>
      <c r="AJ34" s="76"/>
      <c r="AK34" s="80" t="s">
        <v>1210</v>
      </c>
      <c r="AL34" s="80" t="s">
        <v>1210</v>
      </c>
      <c r="AM34" s="80" t="s">
        <v>418</v>
      </c>
      <c r="AN34" s="80"/>
      <c r="AO34" s="80" t="s">
        <v>11226</v>
      </c>
    </row>
    <row r="35" spans="1:41" ht="15">
      <c r="A35" s="61" t="s">
        <v>2381</v>
      </c>
      <c r="B35" s="62" t="s">
        <v>2421</v>
      </c>
      <c r="C35" s="62" t="s">
        <v>61</v>
      </c>
      <c r="D35" s="104"/>
      <c r="E35" s="11"/>
      <c r="F35" s="12" t="s">
        <v>11673</v>
      </c>
      <c r="G35" s="60"/>
      <c r="H35" s="60"/>
      <c r="I35" s="105">
        <v>35</v>
      </c>
      <c r="J35" s="74"/>
      <c r="K35" s="45">
        <v>2</v>
      </c>
      <c r="L35" s="45">
        <v>0</v>
      </c>
      <c r="M35" s="45">
        <v>2</v>
      </c>
      <c r="N35" s="45">
        <v>2</v>
      </c>
      <c r="O35" s="45">
        <v>0</v>
      </c>
      <c r="P35" s="46">
        <v>0</v>
      </c>
      <c r="Q35" s="46">
        <v>0</v>
      </c>
      <c r="R35" s="45">
        <v>1</v>
      </c>
      <c r="S35" s="45">
        <v>0</v>
      </c>
      <c r="T35" s="45">
        <v>2</v>
      </c>
      <c r="U35" s="45">
        <v>2</v>
      </c>
      <c r="V35" s="45">
        <v>1</v>
      </c>
      <c r="W35" s="46">
        <v>0.5</v>
      </c>
      <c r="X35" s="46">
        <v>0.5</v>
      </c>
      <c r="Y35" s="45">
        <v>1</v>
      </c>
      <c r="Z35" s="46">
        <v>1.2820512820512822</v>
      </c>
      <c r="AA35" s="45">
        <v>3</v>
      </c>
      <c r="AB35" s="46">
        <v>3.8461538461538463</v>
      </c>
      <c r="AC35" s="45">
        <v>0</v>
      </c>
      <c r="AD35" s="46">
        <v>0</v>
      </c>
      <c r="AE35" s="45">
        <v>39</v>
      </c>
      <c r="AF35" s="46">
        <v>50</v>
      </c>
      <c r="AG35" s="45">
        <v>78</v>
      </c>
      <c r="AH35" s="76"/>
      <c r="AI35" s="76"/>
      <c r="AJ35" s="76"/>
      <c r="AK35" s="80" t="s">
        <v>11089</v>
      </c>
      <c r="AL35" s="80" t="s">
        <v>11140</v>
      </c>
      <c r="AM35" s="80" t="s">
        <v>415</v>
      </c>
      <c r="AN35" s="80"/>
      <c r="AO35" s="80" t="s">
        <v>11227</v>
      </c>
    </row>
    <row r="36" spans="1:41" ht="15">
      <c r="A36" s="61" t="s">
        <v>2382</v>
      </c>
      <c r="B36" s="62" t="s">
        <v>2422</v>
      </c>
      <c r="C36" s="62" t="s">
        <v>61</v>
      </c>
      <c r="D36" s="104"/>
      <c r="E36" s="11"/>
      <c r="F36" s="12" t="s">
        <v>11674</v>
      </c>
      <c r="G36" s="60"/>
      <c r="H36" s="60"/>
      <c r="I36" s="105">
        <v>36</v>
      </c>
      <c r="J36" s="74"/>
      <c r="K36" s="45">
        <v>2</v>
      </c>
      <c r="L36" s="45">
        <v>1</v>
      </c>
      <c r="M36" s="45">
        <v>0</v>
      </c>
      <c r="N36" s="45">
        <v>1</v>
      </c>
      <c r="O36" s="45">
        <v>0</v>
      </c>
      <c r="P36" s="46">
        <v>0</v>
      </c>
      <c r="Q36" s="46">
        <v>0</v>
      </c>
      <c r="R36" s="45">
        <v>1</v>
      </c>
      <c r="S36" s="45">
        <v>0</v>
      </c>
      <c r="T36" s="45">
        <v>2</v>
      </c>
      <c r="U36" s="45">
        <v>1</v>
      </c>
      <c r="V36" s="45">
        <v>1</v>
      </c>
      <c r="W36" s="46">
        <v>0.5</v>
      </c>
      <c r="X36" s="46">
        <v>0.5</v>
      </c>
      <c r="Y36" s="45">
        <v>1</v>
      </c>
      <c r="Z36" s="46">
        <v>2</v>
      </c>
      <c r="AA36" s="45">
        <v>1</v>
      </c>
      <c r="AB36" s="46">
        <v>2</v>
      </c>
      <c r="AC36" s="45">
        <v>0</v>
      </c>
      <c r="AD36" s="46">
        <v>0</v>
      </c>
      <c r="AE36" s="45">
        <v>24</v>
      </c>
      <c r="AF36" s="46">
        <v>48</v>
      </c>
      <c r="AG36" s="45">
        <v>50</v>
      </c>
      <c r="AH36" s="76"/>
      <c r="AI36" s="76"/>
      <c r="AJ36" s="76"/>
      <c r="AK36" s="80" t="s">
        <v>11090</v>
      </c>
      <c r="AL36" s="80" t="s">
        <v>1210</v>
      </c>
      <c r="AM36" s="80" t="s">
        <v>414</v>
      </c>
      <c r="AN36" s="80"/>
      <c r="AO36" s="80" t="s">
        <v>11228</v>
      </c>
    </row>
    <row r="37" spans="1:41" ht="15">
      <c r="A37" s="61" t="s">
        <v>2383</v>
      </c>
      <c r="B37" s="62" t="s">
        <v>2423</v>
      </c>
      <c r="C37" s="62" t="s">
        <v>61</v>
      </c>
      <c r="D37" s="104"/>
      <c r="E37" s="11"/>
      <c r="F37" s="12" t="s">
        <v>2383</v>
      </c>
      <c r="G37" s="60"/>
      <c r="H37" s="60"/>
      <c r="I37" s="105">
        <v>37</v>
      </c>
      <c r="J37" s="74"/>
      <c r="K37" s="45">
        <v>2</v>
      </c>
      <c r="L37" s="45">
        <v>1</v>
      </c>
      <c r="M37" s="45">
        <v>0</v>
      </c>
      <c r="N37" s="45">
        <v>1</v>
      </c>
      <c r="O37" s="45">
        <v>0</v>
      </c>
      <c r="P37" s="46">
        <v>0</v>
      </c>
      <c r="Q37" s="46">
        <v>0</v>
      </c>
      <c r="R37" s="45">
        <v>1</v>
      </c>
      <c r="S37" s="45">
        <v>0</v>
      </c>
      <c r="T37" s="45">
        <v>2</v>
      </c>
      <c r="U37" s="45">
        <v>1</v>
      </c>
      <c r="V37" s="45">
        <v>1</v>
      </c>
      <c r="W37" s="46">
        <v>0.5</v>
      </c>
      <c r="X37" s="46">
        <v>0.5</v>
      </c>
      <c r="Y37" s="45">
        <v>0</v>
      </c>
      <c r="Z37" s="46">
        <v>0</v>
      </c>
      <c r="AA37" s="45">
        <v>1</v>
      </c>
      <c r="AB37" s="46">
        <v>25</v>
      </c>
      <c r="AC37" s="45">
        <v>0</v>
      </c>
      <c r="AD37" s="46">
        <v>0</v>
      </c>
      <c r="AE37" s="45">
        <v>2</v>
      </c>
      <c r="AF37" s="46">
        <v>50</v>
      </c>
      <c r="AG37" s="45">
        <v>4</v>
      </c>
      <c r="AH37" s="76"/>
      <c r="AI37" s="76"/>
      <c r="AJ37" s="76"/>
      <c r="AK37" s="80" t="s">
        <v>1210</v>
      </c>
      <c r="AL37" s="80" t="s">
        <v>1210</v>
      </c>
      <c r="AM37" s="80" t="s">
        <v>411</v>
      </c>
      <c r="AN37" s="80"/>
      <c r="AO37" s="80" t="s">
        <v>11229</v>
      </c>
    </row>
    <row r="38" spans="1:41" ht="15">
      <c r="A38" s="61" t="s">
        <v>2384</v>
      </c>
      <c r="B38" s="62" t="s">
        <v>2424</v>
      </c>
      <c r="C38" s="62" t="s">
        <v>61</v>
      </c>
      <c r="D38" s="104"/>
      <c r="E38" s="11"/>
      <c r="F38" s="12" t="s">
        <v>11675</v>
      </c>
      <c r="G38" s="60"/>
      <c r="H38" s="60"/>
      <c r="I38" s="105">
        <v>38</v>
      </c>
      <c r="J38" s="74"/>
      <c r="K38" s="45">
        <v>2</v>
      </c>
      <c r="L38" s="45">
        <v>2</v>
      </c>
      <c r="M38" s="45">
        <v>0</v>
      </c>
      <c r="N38" s="45">
        <v>2</v>
      </c>
      <c r="O38" s="45">
        <v>1</v>
      </c>
      <c r="P38" s="46">
        <v>0</v>
      </c>
      <c r="Q38" s="46">
        <v>0</v>
      </c>
      <c r="R38" s="45">
        <v>1</v>
      </c>
      <c r="S38" s="45">
        <v>0</v>
      </c>
      <c r="T38" s="45">
        <v>2</v>
      </c>
      <c r="U38" s="45">
        <v>2</v>
      </c>
      <c r="V38" s="45">
        <v>1</v>
      </c>
      <c r="W38" s="46">
        <v>0.5</v>
      </c>
      <c r="X38" s="46">
        <v>0.5</v>
      </c>
      <c r="Y38" s="45">
        <v>7</v>
      </c>
      <c r="Z38" s="46">
        <v>7.526881720430108</v>
      </c>
      <c r="AA38" s="45">
        <v>6</v>
      </c>
      <c r="AB38" s="46">
        <v>6.451612903225806</v>
      </c>
      <c r="AC38" s="45">
        <v>0</v>
      </c>
      <c r="AD38" s="46">
        <v>0</v>
      </c>
      <c r="AE38" s="45">
        <v>26</v>
      </c>
      <c r="AF38" s="46">
        <v>27.956989247311828</v>
      </c>
      <c r="AG38" s="45">
        <v>93</v>
      </c>
      <c r="AH38" s="76"/>
      <c r="AI38" s="76"/>
      <c r="AJ38" s="76"/>
      <c r="AK38" s="80" t="s">
        <v>2438</v>
      </c>
      <c r="AL38" s="80" t="s">
        <v>1210</v>
      </c>
      <c r="AM38" s="80" t="s">
        <v>408</v>
      </c>
      <c r="AN38" s="80"/>
      <c r="AO38" s="80" t="s">
        <v>11230</v>
      </c>
    </row>
    <row r="39" spans="1:41" ht="15">
      <c r="A39" s="61" t="s">
        <v>2385</v>
      </c>
      <c r="B39" s="62" t="s">
        <v>2413</v>
      </c>
      <c r="C39" s="62" t="s">
        <v>63</v>
      </c>
      <c r="D39" s="104"/>
      <c r="E39" s="11"/>
      <c r="F39" s="12" t="s">
        <v>11676</v>
      </c>
      <c r="G39" s="60"/>
      <c r="H39" s="60"/>
      <c r="I39" s="105">
        <v>39</v>
      </c>
      <c r="J39" s="74"/>
      <c r="K39" s="45">
        <v>2</v>
      </c>
      <c r="L39" s="45">
        <v>2</v>
      </c>
      <c r="M39" s="45">
        <v>0</v>
      </c>
      <c r="N39" s="45">
        <v>2</v>
      </c>
      <c r="O39" s="45">
        <v>1</v>
      </c>
      <c r="P39" s="46">
        <v>0</v>
      </c>
      <c r="Q39" s="46">
        <v>0</v>
      </c>
      <c r="R39" s="45">
        <v>1</v>
      </c>
      <c r="S39" s="45">
        <v>0</v>
      </c>
      <c r="T39" s="45">
        <v>2</v>
      </c>
      <c r="U39" s="45">
        <v>2</v>
      </c>
      <c r="V39" s="45">
        <v>1</v>
      </c>
      <c r="W39" s="46">
        <v>0.5</v>
      </c>
      <c r="X39" s="46">
        <v>0.5</v>
      </c>
      <c r="Y39" s="45">
        <v>0</v>
      </c>
      <c r="Z39" s="46">
        <v>0</v>
      </c>
      <c r="AA39" s="45">
        <v>6</v>
      </c>
      <c r="AB39" s="46">
        <v>8.108108108108109</v>
      </c>
      <c r="AC39" s="45">
        <v>0</v>
      </c>
      <c r="AD39" s="46">
        <v>0</v>
      </c>
      <c r="AE39" s="45">
        <v>28</v>
      </c>
      <c r="AF39" s="46">
        <v>37.83783783783784</v>
      </c>
      <c r="AG39" s="45">
        <v>74</v>
      </c>
      <c r="AH39" s="76"/>
      <c r="AI39" s="76"/>
      <c r="AJ39" s="76" t="s">
        <v>594</v>
      </c>
      <c r="AK39" s="80" t="s">
        <v>11091</v>
      </c>
      <c r="AL39" s="80" t="s">
        <v>1210</v>
      </c>
      <c r="AM39" s="80"/>
      <c r="AN39" s="80"/>
      <c r="AO39" s="80" t="s">
        <v>11231</v>
      </c>
    </row>
    <row r="40" spans="1:41" ht="15">
      <c r="A40" s="61" t="s">
        <v>2386</v>
      </c>
      <c r="B40" s="62" t="s">
        <v>2414</v>
      </c>
      <c r="C40" s="62" t="s">
        <v>63</v>
      </c>
      <c r="D40" s="104"/>
      <c r="E40" s="11"/>
      <c r="F40" s="12" t="s">
        <v>2386</v>
      </c>
      <c r="G40" s="60"/>
      <c r="H40" s="60"/>
      <c r="I40" s="105">
        <v>40</v>
      </c>
      <c r="J40" s="74"/>
      <c r="K40" s="45">
        <v>2</v>
      </c>
      <c r="L40" s="45">
        <v>1</v>
      </c>
      <c r="M40" s="45">
        <v>0</v>
      </c>
      <c r="N40" s="45">
        <v>1</v>
      </c>
      <c r="O40" s="45">
        <v>0</v>
      </c>
      <c r="P40" s="46">
        <v>0</v>
      </c>
      <c r="Q40" s="46">
        <v>0</v>
      </c>
      <c r="R40" s="45">
        <v>1</v>
      </c>
      <c r="S40" s="45">
        <v>0</v>
      </c>
      <c r="T40" s="45">
        <v>2</v>
      </c>
      <c r="U40" s="45">
        <v>1</v>
      </c>
      <c r="V40" s="45">
        <v>1</v>
      </c>
      <c r="W40" s="46">
        <v>0.5</v>
      </c>
      <c r="X40" s="46">
        <v>0.5</v>
      </c>
      <c r="Y40" s="45">
        <v>3</v>
      </c>
      <c r="Z40" s="46">
        <v>13.636363636363637</v>
      </c>
      <c r="AA40" s="45">
        <v>1</v>
      </c>
      <c r="AB40" s="46">
        <v>4.545454545454546</v>
      </c>
      <c r="AC40" s="45">
        <v>0</v>
      </c>
      <c r="AD40" s="46">
        <v>0</v>
      </c>
      <c r="AE40" s="45">
        <v>10</v>
      </c>
      <c r="AF40" s="46">
        <v>45.45454545454545</v>
      </c>
      <c r="AG40" s="45">
        <v>22</v>
      </c>
      <c r="AH40" s="76"/>
      <c r="AI40" s="76"/>
      <c r="AJ40" s="76"/>
      <c r="AK40" s="80" t="s">
        <v>1210</v>
      </c>
      <c r="AL40" s="80" t="s">
        <v>1210</v>
      </c>
      <c r="AM40" s="80" t="s">
        <v>405</v>
      </c>
      <c r="AN40" s="80"/>
      <c r="AO40" s="80" t="s">
        <v>11232</v>
      </c>
    </row>
    <row r="41" spans="1:41" ht="15">
      <c r="A41" s="61" t="s">
        <v>2387</v>
      </c>
      <c r="B41" s="62" t="s">
        <v>2415</v>
      </c>
      <c r="C41" s="62" t="s">
        <v>63</v>
      </c>
      <c r="D41" s="104"/>
      <c r="E41" s="11"/>
      <c r="F41" s="12" t="s">
        <v>2387</v>
      </c>
      <c r="G41" s="60"/>
      <c r="H41" s="60"/>
      <c r="I41" s="105">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4</v>
      </c>
      <c r="AB41" s="46">
        <v>14.814814814814815</v>
      </c>
      <c r="AC41" s="45">
        <v>0</v>
      </c>
      <c r="AD41" s="46">
        <v>0</v>
      </c>
      <c r="AE41" s="45">
        <v>13</v>
      </c>
      <c r="AF41" s="46">
        <v>48.148148148148145</v>
      </c>
      <c r="AG41" s="45">
        <v>27</v>
      </c>
      <c r="AH41" s="76"/>
      <c r="AI41" s="76"/>
      <c r="AJ41" s="76"/>
      <c r="AK41" s="80" t="s">
        <v>1210</v>
      </c>
      <c r="AL41" s="80" t="s">
        <v>1210</v>
      </c>
      <c r="AM41" s="80" t="s">
        <v>404</v>
      </c>
      <c r="AN41" s="80"/>
      <c r="AO41" s="80" t="s">
        <v>11233</v>
      </c>
    </row>
    <row r="42" spans="1:41" ht="15">
      <c r="A42" s="61" t="s">
        <v>2388</v>
      </c>
      <c r="B42" s="62" t="s">
        <v>2416</v>
      </c>
      <c r="C42" s="62" t="s">
        <v>63</v>
      </c>
      <c r="D42" s="104"/>
      <c r="E42" s="11"/>
      <c r="F42" s="12" t="s">
        <v>2388</v>
      </c>
      <c r="G42" s="60"/>
      <c r="H42" s="60"/>
      <c r="I42" s="105">
        <v>42</v>
      </c>
      <c r="J42" s="74"/>
      <c r="K42" s="45">
        <v>2</v>
      </c>
      <c r="L42" s="45">
        <v>1</v>
      </c>
      <c r="M42" s="45">
        <v>0</v>
      </c>
      <c r="N42" s="45">
        <v>1</v>
      </c>
      <c r="O42" s="45">
        <v>0</v>
      </c>
      <c r="P42" s="46">
        <v>0</v>
      </c>
      <c r="Q42" s="46">
        <v>0</v>
      </c>
      <c r="R42" s="45">
        <v>1</v>
      </c>
      <c r="S42" s="45">
        <v>0</v>
      </c>
      <c r="T42" s="45">
        <v>2</v>
      </c>
      <c r="U42" s="45">
        <v>1</v>
      </c>
      <c r="V42" s="45">
        <v>1</v>
      </c>
      <c r="W42" s="46">
        <v>0.5</v>
      </c>
      <c r="X42" s="46">
        <v>0.5</v>
      </c>
      <c r="Y42" s="45">
        <v>1</v>
      </c>
      <c r="Z42" s="46">
        <v>4.3478260869565215</v>
      </c>
      <c r="AA42" s="45">
        <v>1</v>
      </c>
      <c r="AB42" s="46">
        <v>4.3478260869565215</v>
      </c>
      <c r="AC42" s="45">
        <v>0</v>
      </c>
      <c r="AD42" s="46">
        <v>0</v>
      </c>
      <c r="AE42" s="45">
        <v>9</v>
      </c>
      <c r="AF42" s="46">
        <v>39.130434782608695</v>
      </c>
      <c r="AG42" s="45">
        <v>23</v>
      </c>
      <c r="AH42" s="76"/>
      <c r="AI42" s="76"/>
      <c r="AJ42" s="76"/>
      <c r="AK42" s="80" t="s">
        <v>1210</v>
      </c>
      <c r="AL42" s="80" t="s">
        <v>1210</v>
      </c>
      <c r="AM42" s="80" t="s">
        <v>403</v>
      </c>
      <c r="AN42" s="80"/>
      <c r="AO42" s="80" t="s">
        <v>11234</v>
      </c>
    </row>
    <row r="43" spans="1:41" ht="15">
      <c r="A43" s="61" t="s">
        <v>2389</v>
      </c>
      <c r="B43" s="62" t="s">
        <v>2417</v>
      </c>
      <c r="C43" s="62" t="s">
        <v>63</v>
      </c>
      <c r="D43" s="104"/>
      <c r="E43" s="11"/>
      <c r="F43" s="12" t="s">
        <v>11677</v>
      </c>
      <c r="G43" s="60"/>
      <c r="H43" s="60"/>
      <c r="I43" s="105">
        <v>43</v>
      </c>
      <c r="J43" s="74"/>
      <c r="K43" s="45">
        <v>2</v>
      </c>
      <c r="L43" s="45">
        <v>2</v>
      </c>
      <c r="M43" s="45">
        <v>0</v>
      </c>
      <c r="N43" s="45">
        <v>2</v>
      </c>
      <c r="O43" s="45">
        <v>1</v>
      </c>
      <c r="P43" s="46">
        <v>0</v>
      </c>
      <c r="Q43" s="46">
        <v>0</v>
      </c>
      <c r="R43" s="45">
        <v>1</v>
      </c>
      <c r="S43" s="45">
        <v>0</v>
      </c>
      <c r="T43" s="45">
        <v>2</v>
      </c>
      <c r="U43" s="45">
        <v>2</v>
      </c>
      <c r="V43" s="45">
        <v>1</v>
      </c>
      <c r="W43" s="46">
        <v>0.5</v>
      </c>
      <c r="X43" s="46">
        <v>0.5</v>
      </c>
      <c r="Y43" s="45">
        <v>2</v>
      </c>
      <c r="Z43" s="46">
        <v>3.4482758620689653</v>
      </c>
      <c r="AA43" s="45">
        <v>2</v>
      </c>
      <c r="AB43" s="46">
        <v>3.4482758620689653</v>
      </c>
      <c r="AC43" s="45">
        <v>0</v>
      </c>
      <c r="AD43" s="46">
        <v>0</v>
      </c>
      <c r="AE43" s="45">
        <v>30</v>
      </c>
      <c r="AF43" s="46">
        <v>51.724137931034484</v>
      </c>
      <c r="AG43" s="45">
        <v>58</v>
      </c>
      <c r="AH43" s="76" t="s">
        <v>11032</v>
      </c>
      <c r="AI43" s="76" t="s">
        <v>613</v>
      </c>
      <c r="AJ43" s="76" t="s">
        <v>591</v>
      </c>
      <c r="AK43" s="80" t="s">
        <v>11092</v>
      </c>
      <c r="AL43" s="80" t="s">
        <v>1210</v>
      </c>
      <c r="AM43" s="80"/>
      <c r="AN43" s="80"/>
      <c r="AO43" s="80" t="s">
        <v>11235</v>
      </c>
    </row>
    <row r="44" spans="1:41" ht="15">
      <c r="A44" s="61" t="s">
        <v>2390</v>
      </c>
      <c r="B44" s="62" t="s">
        <v>2418</v>
      </c>
      <c r="C44" s="62" t="s">
        <v>63</v>
      </c>
      <c r="D44" s="104"/>
      <c r="E44" s="11"/>
      <c r="F44" s="12" t="s">
        <v>2390</v>
      </c>
      <c r="G44" s="60"/>
      <c r="H44" s="60"/>
      <c r="I44" s="105">
        <v>44</v>
      </c>
      <c r="J44" s="74"/>
      <c r="K44" s="45">
        <v>2</v>
      </c>
      <c r="L44" s="45">
        <v>2</v>
      </c>
      <c r="M44" s="45">
        <v>0</v>
      </c>
      <c r="N44" s="45">
        <v>2</v>
      </c>
      <c r="O44" s="45">
        <v>1</v>
      </c>
      <c r="P44" s="46">
        <v>0</v>
      </c>
      <c r="Q44" s="46">
        <v>0</v>
      </c>
      <c r="R44" s="45">
        <v>1</v>
      </c>
      <c r="S44" s="45">
        <v>0</v>
      </c>
      <c r="T44" s="45">
        <v>2</v>
      </c>
      <c r="U44" s="45">
        <v>2</v>
      </c>
      <c r="V44" s="45">
        <v>1</v>
      </c>
      <c r="W44" s="46">
        <v>0.5</v>
      </c>
      <c r="X44" s="46">
        <v>0.5</v>
      </c>
      <c r="Y44" s="45">
        <v>1</v>
      </c>
      <c r="Z44" s="46">
        <v>3.0303030303030303</v>
      </c>
      <c r="AA44" s="45">
        <v>3</v>
      </c>
      <c r="AB44" s="46">
        <v>9.090909090909092</v>
      </c>
      <c r="AC44" s="45">
        <v>0</v>
      </c>
      <c r="AD44" s="46">
        <v>0</v>
      </c>
      <c r="AE44" s="45">
        <v>12</v>
      </c>
      <c r="AF44" s="46">
        <v>36.36363636363637</v>
      </c>
      <c r="AG44" s="45">
        <v>33</v>
      </c>
      <c r="AH44" s="76"/>
      <c r="AI44" s="76"/>
      <c r="AJ44" s="76"/>
      <c r="AK44" s="80" t="s">
        <v>1210</v>
      </c>
      <c r="AL44" s="80" t="s">
        <v>1210</v>
      </c>
      <c r="AM44" s="80"/>
      <c r="AN44" s="80"/>
      <c r="AO44" s="80" t="s">
        <v>11236</v>
      </c>
    </row>
    <row r="45" spans="1:41" ht="15">
      <c r="A45" s="61" t="s">
        <v>2391</v>
      </c>
      <c r="B45" s="62" t="s">
        <v>2419</v>
      </c>
      <c r="C45" s="62" t="s">
        <v>63</v>
      </c>
      <c r="D45" s="104"/>
      <c r="E45" s="11"/>
      <c r="F45" s="12" t="s">
        <v>11678</v>
      </c>
      <c r="G45" s="60"/>
      <c r="H45" s="60"/>
      <c r="I45" s="105">
        <v>45</v>
      </c>
      <c r="J45" s="74"/>
      <c r="K45" s="45">
        <v>2</v>
      </c>
      <c r="L45" s="45">
        <v>2</v>
      </c>
      <c r="M45" s="45">
        <v>0</v>
      </c>
      <c r="N45" s="45">
        <v>2</v>
      </c>
      <c r="O45" s="45">
        <v>1</v>
      </c>
      <c r="P45" s="46">
        <v>0</v>
      </c>
      <c r="Q45" s="46">
        <v>0</v>
      </c>
      <c r="R45" s="45">
        <v>1</v>
      </c>
      <c r="S45" s="45">
        <v>0</v>
      </c>
      <c r="T45" s="45">
        <v>2</v>
      </c>
      <c r="U45" s="45">
        <v>2</v>
      </c>
      <c r="V45" s="45">
        <v>1</v>
      </c>
      <c r="W45" s="46">
        <v>0.5</v>
      </c>
      <c r="X45" s="46">
        <v>0.5</v>
      </c>
      <c r="Y45" s="45">
        <v>0</v>
      </c>
      <c r="Z45" s="46">
        <v>0</v>
      </c>
      <c r="AA45" s="45">
        <v>6</v>
      </c>
      <c r="AB45" s="46">
        <v>8.108108108108109</v>
      </c>
      <c r="AC45" s="45">
        <v>0</v>
      </c>
      <c r="AD45" s="46">
        <v>0</v>
      </c>
      <c r="AE45" s="45">
        <v>33</v>
      </c>
      <c r="AF45" s="46">
        <v>44.5945945945946</v>
      </c>
      <c r="AG45" s="45">
        <v>74</v>
      </c>
      <c r="AH45" s="76"/>
      <c r="AI45" s="76"/>
      <c r="AJ45" s="76" t="s">
        <v>590</v>
      </c>
      <c r="AK45" s="80" t="s">
        <v>11093</v>
      </c>
      <c r="AL45" s="80" t="s">
        <v>1210</v>
      </c>
      <c r="AM45" s="80"/>
      <c r="AN45" s="80"/>
      <c r="AO45" s="80" t="s">
        <v>11237</v>
      </c>
    </row>
    <row r="46" spans="1:41" ht="15">
      <c r="A46" s="61" t="s">
        <v>2392</v>
      </c>
      <c r="B46" s="62" t="s">
        <v>2420</v>
      </c>
      <c r="C46" s="62" t="s">
        <v>63</v>
      </c>
      <c r="D46" s="104"/>
      <c r="E46" s="11"/>
      <c r="F46" s="12" t="s">
        <v>2392</v>
      </c>
      <c r="G46" s="60"/>
      <c r="H46" s="60"/>
      <c r="I46" s="105">
        <v>46</v>
      </c>
      <c r="J46" s="74"/>
      <c r="K46" s="45">
        <v>2</v>
      </c>
      <c r="L46" s="45">
        <v>2</v>
      </c>
      <c r="M46" s="45">
        <v>0</v>
      </c>
      <c r="N46" s="45">
        <v>2</v>
      </c>
      <c r="O46" s="45">
        <v>1</v>
      </c>
      <c r="P46" s="46">
        <v>0</v>
      </c>
      <c r="Q46" s="46">
        <v>0</v>
      </c>
      <c r="R46" s="45">
        <v>1</v>
      </c>
      <c r="S46" s="45">
        <v>0</v>
      </c>
      <c r="T46" s="45">
        <v>2</v>
      </c>
      <c r="U46" s="45">
        <v>2</v>
      </c>
      <c r="V46" s="45">
        <v>1</v>
      </c>
      <c r="W46" s="46">
        <v>0.5</v>
      </c>
      <c r="X46" s="46">
        <v>0.5</v>
      </c>
      <c r="Y46" s="45">
        <v>1</v>
      </c>
      <c r="Z46" s="46">
        <v>4.3478260869565215</v>
      </c>
      <c r="AA46" s="45">
        <v>5</v>
      </c>
      <c r="AB46" s="46">
        <v>21.73913043478261</v>
      </c>
      <c r="AC46" s="45">
        <v>0</v>
      </c>
      <c r="AD46" s="46">
        <v>0</v>
      </c>
      <c r="AE46" s="45">
        <v>9</v>
      </c>
      <c r="AF46" s="46">
        <v>39.130434782608695</v>
      </c>
      <c r="AG46" s="45">
        <v>23</v>
      </c>
      <c r="AH46" s="76" t="s">
        <v>11033</v>
      </c>
      <c r="AI46" s="76" t="s">
        <v>611</v>
      </c>
      <c r="AJ46" s="76"/>
      <c r="AK46" s="80" t="s">
        <v>1210</v>
      </c>
      <c r="AL46" s="80" t="s">
        <v>1210</v>
      </c>
      <c r="AM46" s="80"/>
      <c r="AN46" s="80"/>
      <c r="AO46" s="80" t="s">
        <v>11238</v>
      </c>
    </row>
    <row r="47" spans="1:41" ht="15">
      <c r="A47" s="61" t="s">
        <v>2393</v>
      </c>
      <c r="B47" s="62" t="s">
        <v>2421</v>
      </c>
      <c r="C47" s="62" t="s">
        <v>63</v>
      </c>
      <c r="D47" s="104"/>
      <c r="E47" s="11"/>
      <c r="F47" s="12" t="s">
        <v>11679</v>
      </c>
      <c r="G47" s="60"/>
      <c r="H47" s="60"/>
      <c r="I47" s="105">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4</v>
      </c>
      <c r="AB47" s="46">
        <v>12.121212121212121</v>
      </c>
      <c r="AC47" s="45">
        <v>0</v>
      </c>
      <c r="AD47" s="46">
        <v>0</v>
      </c>
      <c r="AE47" s="45">
        <v>14</v>
      </c>
      <c r="AF47" s="46">
        <v>42.42424242424242</v>
      </c>
      <c r="AG47" s="45">
        <v>33</v>
      </c>
      <c r="AH47" s="76"/>
      <c r="AI47" s="76"/>
      <c r="AJ47" s="76"/>
      <c r="AK47" s="80" t="s">
        <v>11094</v>
      </c>
      <c r="AL47" s="80" t="s">
        <v>11141</v>
      </c>
      <c r="AM47" s="80" t="s">
        <v>391</v>
      </c>
      <c r="AN47" s="80"/>
      <c r="AO47" s="80" t="s">
        <v>11239</v>
      </c>
    </row>
    <row r="48" spans="1:41" ht="15">
      <c r="A48" s="61" t="s">
        <v>2394</v>
      </c>
      <c r="B48" s="62" t="s">
        <v>2422</v>
      </c>
      <c r="C48" s="62" t="s">
        <v>63</v>
      </c>
      <c r="D48" s="104"/>
      <c r="E48" s="11"/>
      <c r="F48" s="12" t="s">
        <v>2394</v>
      </c>
      <c r="G48" s="60"/>
      <c r="H48" s="60"/>
      <c r="I48" s="105">
        <v>48</v>
      </c>
      <c r="J48" s="74"/>
      <c r="K48" s="45">
        <v>2</v>
      </c>
      <c r="L48" s="45">
        <v>1</v>
      </c>
      <c r="M48" s="45">
        <v>0</v>
      </c>
      <c r="N48" s="45">
        <v>1</v>
      </c>
      <c r="O48" s="45">
        <v>0</v>
      </c>
      <c r="P48" s="46">
        <v>0</v>
      </c>
      <c r="Q48" s="46">
        <v>0</v>
      </c>
      <c r="R48" s="45">
        <v>1</v>
      </c>
      <c r="S48" s="45">
        <v>0</v>
      </c>
      <c r="T48" s="45">
        <v>2</v>
      </c>
      <c r="U48" s="45">
        <v>1</v>
      </c>
      <c r="V48" s="45">
        <v>1</v>
      </c>
      <c r="W48" s="46">
        <v>0.5</v>
      </c>
      <c r="X48" s="46">
        <v>0.5</v>
      </c>
      <c r="Y48" s="45">
        <v>0</v>
      </c>
      <c r="Z48" s="46">
        <v>0</v>
      </c>
      <c r="AA48" s="45">
        <v>1</v>
      </c>
      <c r="AB48" s="46">
        <v>2.5</v>
      </c>
      <c r="AC48" s="45">
        <v>0</v>
      </c>
      <c r="AD48" s="46">
        <v>0</v>
      </c>
      <c r="AE48" s="45">
        <v>19</v>
      </c>
      <c r="AF48" s="46">
        <v>47.5</v>
      </c>
      <c r="AG48" s="45">
        <v>40</v>
      </c>
      <c r="AH48" s="76"/>
      <c r="AI48" s="76"/>
      <c r="AJ48" s="76"/>
      <c r="AK48" s="80" t="s">
        <v>1210</v>
      </c>
      <c r="AL48" s="80" t="s">
        <v>1210</v>
      </c>
      <c r="AM48" s="80" t="s">
        <v>388</v>
      </c>
      <c r="AN48" s="80"/>
      <c r="AO48" s="80" t="s">
        <v>11240</v>
      </c>
    </row>
    <row r="49" spans="1:41" ht="15">
      <c r="A49" s="61" t="s">
        <v>2395</v>
      </c>
      <c r="B49" s="62" t="s">
        <v>2423</v>
      </c>
      <c r="C49" s="62" t="s">
        <v>63</v>
      </c>
      <c r="D49" s="104"/>
      <c r="E49" s="11"/>
      <c r="F49" s="12" t="s">
        <v>11680</v>
      </c>
      <c r="G49" s="60"/>
      <c r="H49" s="60"/>
      <c r="I49" s="105">
        <v>49</v>
      </c>
      <c r="J49" s="74"/>
      <c r="K49" s="45">
        <v>2</v>
      </c>
      <c r="L49" s="45">
        <v>1</v>
      </c>
      <c r="M49" s="45">
        <v>0</v>
      </c>
      <c r="N49" s="45">
        <v>1</v>
      </c>
      <c r="O49" s="45">
        <v>0</v>
      </c>
      <c r="P49" s="46">
        <v>0</v>
      </c>
      <c r="Q49" s="46">
        <v>0</v>
      </c>
      <c r="R49" s="45">
        <v>1</v>
      </c>
      <c r="S49" s="45">
        <v>0</v>
      </c>
      <c r="T49" s="45">
        <v>2</v>
      </c>
      <c r="U49" s="45">
        <v>1</v>
      </c>
      <c r="V49" s="45">
        <v>1</v>
      </c>
      <c r="W49" s="46">
        <v>0.5</v>
      </c>
      <c r="X49" s="46">
        <v>0.5</v>
      </c>
      <c r="Y49" s="45">
        <v>0</v>
      </c>
      <c r="Z49" s="46">
        <v>0</v>
      </c>
      <c r="AA49" s="45">
        <v>4</v>
      </c>
      <c r="AB49" s="46">
        <v>9.30232558139535</v>
      </c>
      <c r="AC49" s="45">
        <v>0</v>
      </c>
      <c r="AD49" s="46">
        <v>0</v>
      </c>
      <c r="AE49" s="45">
        <v>21</v>
      </c>
      <c r="AF49" s="46">
        <v>48.83720930232558</v>
      </c>
      <c r="AG49" s="45">
        <v>43</v>
      </c>
      <c r="AH49" s="76"/>
      <c r="AI49" s="76"/>
      <c r="AJ49" s="76"/>
      <c r="AK49" s="80" t="s">
        <v>11095</v>
      </c>
      <c r="AL49" s="80" t="s">
        <v>1210</v>
      </c>
      <c r="AM49" s="80" t="s">
        <v>387</v>
      </c>
      <c r="AN49" s="80"/>
      <c r="AO49" s="80" t="s">
        <v>11241</v>
      </c>
    </row>
    <row r="50" spans="1:41" ht="15">
      <c r="A50" s="61" t="s">
        <v>2396</v>
      </c>
      <c r="B50" s="62" t="s">
        <v>2424</v>
      </c>
      <c r="C50" s="62" t="s">
        <v>63</v>
      </c>
      <c r="D50" s="104"/>
      <c r="E50" s="11"/>
      <c r="F50" s="12" t="s">
        <v>11681</v>
      </c>
      <c r="G50" s="60"/>
      <c r="H50" s="60"/>
      <c r="I50" s="105">
        <v>50</v>
      </c>
      <c r="J50" s="74"/>
      <c r="K50" s="45">
        <v>2</v>
      </c>
      <c r="L50" s="45">
        <v>2</v>
      </c>
      <c r="M50" s="45">
        <v>0</v>
      </c>
      <c r="N50" s="45">
        <v>2</v>
      </c>
      <c r="O50" s="45">
        <v>1</v>
      </c>
      <c r="P50" s="46">
        <v>0</v>
      </c>
      <c r="Q50" s="46">
        <v>0</v>
      </c>
      <c r="R50" s="45">
        <v>1</v>
      </c>
      <c r="S50" s="45">
        <v>0</v>
      </c>
      <c r="T50" s="45">
        <v>2</v>
      </c>
      <c r="U50" s="45">
        <v>2</v>
      </c>
      <c r="V50" s="45">
        <v>1</v>
      </c>
      <c r="W50" s="46">
        <v>0.5</v>
      </c>
      <c r="X50" s="46">
        <v>0.5</v>
      </c>
      <c r="Y50" s="45">
        <v>1</v>
      </c>
      <c r="Z50" s="46">
        <v>1.0309278350515463</v>
      </c>
      <c r="AA50" s="45">
        <v>4</v>
      </c>
      <c r="AB50" s="46">
        <v>4.123711340206185</v>
      </c>
      <c r="AC50" s="45">
        <v>0</v>
      </c>
      <c r="AD50" s="46">
        <v>0</v>
      </c>
      <c r="AE50" s="45">
        <v>48</v>
      </c>
      <c r="AF50" s="46">
        <v>49.48453608247423</v>
      </c>
      <c r="AG50" s="45">
        <v>97</v>
      </c>
      <c r="AH50" s="76"/>
      <c r="AI50" s="76"/>
      <c r="AJ50" s="76" t="s">
        <v>589</v>
      </c>
      <c r="AK50" s="80" t="s">
        <v>11096</v>
      </c>
      <c r="AL50" s="80" t="s">
        <v>1210</v>
      </c>
      <c r="AM50" s="80"/>
      <c r="AN50" s="80"/>
      <c r="AO50" s="80" t="s">
        <v>11242</v>
      </c>
    </row>
    <row r="51" spans="1:41" ht="15">
      <c r="A51" s="61" t="s">
        <v>2397</v>
      </c>
      <c r="B51" s="62" t="s">
        <v>2413</v>
      </c>
      <c r="C51" s="62" t="s">
        <v>57</v>
      </c>
      <c r="D51" s="104"/>
      <c r="E51" s="11"/>
      <c r="F51" s="12" t="s">
        <v>11682</v>
      </c>
      <c r="G51" s="60"/>
      <c r="H51" s="60"/>
      <c r="I51" s="105">
        <v>51</v>
      </c>
      <c r="J51" s="74"/>
      <c r="K51" s="45">
        <v>2</v>
      </c>
      <c r="L51" s="45">
        <v>1</v>
      </c>
      <c r="M51" s="45">
        <v>0</v>
      </c>
      <c r="N51" s="45">
        <v>1</v>
      </c>
      <c r="O51" s="45">
        <v>0</v>
      </c>
      <c r="P51" s="46">
        <v>0</v>
      </c>
      <c r="Q51" s="46">
        <v>0</v>
      </c>
      <c r="R51" s="45">
        <v>1</v>
      </c>
      <c r="S51" s="45">
        <v>0</v>
      </c>
      <c r="T51" s="45">
        <v>2</v>
      </c>
      <c r="U51" s="45">
        <v>1</v>
      </c>
      <c r="V51" s="45">
        <v>1</v>
      </c>
      <c r="W51" s="46">
        <v>0.5</v>
      </c>
      <c r="X51" s="46">
        <v>0.5</v>
      </c>
      <c r="Y51" s="45">
        <v>1</v>
      </c>
      <c r="Z51" s="46">
        <v>2.4390243902439024</v>
      </c>
      <c r="AA51" s="45">
        <v>4</v>
      </c>
      <c r="AB51" s="46">
        <v>9.75609756097561</v>
      </c>
      <c r="AC51" s="45">
        <v>0</v>
      </c>
      <c r="AD51" s="46">
        <v>0</v>
      </c>
      <c r="AE51" s="45">
        <v>14</v>
      </c>
      <c r="AF51" s="46">
        <v>34.146341463414636</v>
      </c>
      <c r="AG51" s="45">
        <v>41</v>
      </c>
      <c r="AH51" s="76"/>
      <c r="AI51" s="76"/>
      <c r="AJ51" s="76"/>
      <c r="AK51" s="80" t="s">
        <v>2472</v>
      </c>
      <c r="AL51" s="80" t="s">
        <v>1210</v>
      </c>
      <c r="AM51" s="80" t="s">
        <v>386</v>
      </c>
      <c r="AN51" s="80"/>
      <c r="AO51" s="80" t="s">
        <v>11243</v>
      </c>
    </row>
    <row r="52" spans="1:41" ht="15">
      <c r="A52" s="61" t="s">
        <v>2398</v>
      </c>
      <c r="B52" s="62" t="s">
        <v>2414</v>
      </c>
      <c r="C52" s="62" t="s">
        <v>57</v>
      </c>
      <c r="D52" s="104"/>
      <c r="E52" s="11"/>
      <c r="F52" s="12" t="s">
        <v>2398</v>
      </c>
      <c r="G52" s="60"/>
      <c r="H52" s="60"/>
      <c r="I52" s="105">
        <v>52</v>
      </c>
      <c r="J52" s="74"/>
      <c r="K52" s="45">
        <v>2</v>
      </c>
      <c r="L52" s="45">
        <v>1</v>
      </c>
      <c r="M52" s="45">
        <v>0</v>
      </c>
      <c r="N52" s="45">
        <v>1</v>
      </c>
      <c r="O52" s="45">
        <v>0</v>
      </c>
      <c r="P52" s="46">
        <v>0</v>
      </c>
      <c r="Q52" s="46">
        <v>0</v>
      </c>
      <c r="R52" s="45">
        <v>1</v>
      </c>
      <c r="S52" s="45">
        <v>0</v>
      </c>
      <c r="T52" s="45">
        <v>2</v>
      </c>
      <c r="U52" s="45">
        <v>1</v>
      </c>
      <c r="V52" s="45">
        <v>1</v>
      </c>
      <c r="W52" s="46">
        <v>0.5</v>
      </c>
      <c r="X52" s="46">
        <v>0.5</v>
      </c>
      <c r="Y52" s="45">
        <v>1</v>
      </c>
      <c r="Z52" s="46">
        <v>3.225806451612903</v>
      </c>
      <c r="AA52" s="45">
        <v>3</v>
      </c>
      <c r="AB52" s="46">
        <v>9.67741935483871</v>
      </c>
      <c r="AC52" s="45">
        <v>0</v>
      </c>
      <c r="AD52" s="46">
        <v>0</v>
      </c>
      <c r="AE52" s="45">
        <v>9</v>
      </c>
      <c r="AF52" s="46">
        <v>29.032258064516128</v>
      </c>
      <c r="AG52" s="45">
        <v>31</v>
      </c>
      <c r="AH52" s="76"/>
      <c r="AI52" s="76"/>
      <c r="AJ52" s="76"/>
      <c r="AK52" s="80" t="s">
        <v>1210</v>
      </c>
      <c r="AL52" s="80" t="s">
        <v>1210</v>
      </c>
      <c r="AM52" s="80" t="s">
        <v>385</v>
      </c>
      <c r="AN52" s="80"/>
      <c r="AO52" s="80" t="s">
        <v>11244</v>
      </c>
    </row>
    <row r="53" spans="1:41" ht="15">
      <c r="A53" s="61" t="s">
        <v>2399</v>
      </c>
      <c r="B53" s="62" t="s">
        <v>2415</v>
      </c>
      <c r="C53" s="62" t="s">
        <v>57</v>
      </c>
      <c r="D53" s="104"/>
      <c r="E53" s="11"/>
      <c r="F53" s="12" t="s">
        <v>2399</v>
      </c>
      <c r="G53" s="60"/>
      <c r="H53" s="60"/>
      <c r="I53" s="105">
        <v>53</v>
      </c>
      <c r="J53" s="74"/>
      <c r="K53" s="45">
        <v>2</v>
      </c>
      <c r="L53" s="45">
        <v>1</v>
      </c>
      <c r="M53" s="45">
        <v>0</v>
      </c>
      <c r="N53" s="45">
        <v>1</v>
      </c>
      <c r="O53" s="45">
        <v>0</v>
      </c>
      <c r="P53" s="46">
        <v>0</v>
      </c>
      <c r="Q53" s="46">
        <v>0</v>
      </c>
      <c r="R53" s="45">
        <v>1</v>
      </c>
      <c r="S53" s="45">
        <v>0</v>
      </c>
      <c r="T53" s="45">
        <v>2</v>
      </c>
      <c r="U53" s="45">
        <v>1</v>
      </c>
      <c r="V53" s="45">
        <v>1</v>
      </c>
      <c r="W53" s="46">
        <v>0.5</v>
      </c>
      <c r="X53" s="46">
        <v>0.5</v>
      </c>
      <c r="Y53" s="45">
        <v>1</v>
      </c>
      <c r="Z53" s="46">
        <v>7.6923076923076925</v>
      </c>
      <c r="AA53" s="45">
        <v>2</v>
      </c>
      <c r="AB53" s="46">
        <v>15.384615384615385</v>
      </c>
      <c r="AC53" s="45">
        <v>0</v>
      </c>
      <c r="AD53" s="46">
        <v>0</v>
      </c>
      <c r="AE53" s="45">
        <v>5</v>
      </c>
      <c r="AF53" s="46">
        <v>38.46153846153846</v>
      </c>
      <c r="AG53" s="45">
        <v>13</v>
      </c>
      <c r="AH53" s="76"/>
      <c r="AI53" s="76"/>
      <c r="AJ53" s="76"/>
      <c r="AK53" s="80" t="s">
        <v>1210</v>
      </c>
      <c r="AL53" s="80" t="s">
        <v>1210</v>
      </c>
      <c r="AM53" s="80" t="s">
        <v>384</v>
      </c>
      <c r="AN53" s="80"/>
      <c r="AO53" s="80" t="s">
        <v>11245</v>
      </c>
    </row>
    <row r="54" spans="1:41" ht="15">
      <c r="A54" s="61" t="s">
        <v>2400</v>
      </c>
      <c r="B54" s="62" t="s">
        <v>2416</v>
      </c>
      <c r="C54" s="62" t="s">
        <v>57</v>
      </c>
      <c r="D54" s="104"/>
      <c r="E54" s="11"/>
      <c r="F54" s="12" t="s">
        <v>2400</v>
      </c>
      <c r="G54" s="60"/>
      <c r="H54" s="60"/>
      <c r="I54" s="105">
        <v>54</v>
      </c>
      <c r="J54" s="74"/>
      <c r="K54" s="45">
        <v>2</v>
      </c>
      <c r="L54" s="45">
        <v>1</v>
      </c>
      <c r="M54" s="45">
        <v>0</v>
      </c>
      <c r="N54" s="45">
        <v>1</v>
      </c>
      <c r="O54" s="45">
        <v>0</v>
      </c>
      <c r="P54" s="46">
        <v>0</v>
      </c>
      <c r="Q54" s="46">
        <v>0</v>
      </c>
      <c r="R54" s="45">
        <v>1</v>
      </c>
      <c r="S54" s="45">
        <v>0</v>
      </c>
      <c r="T54" s="45">
        <v>2</v>
      </c>
      <c r="U54" s="45">
        <v>1</v>
      </c>
      <c r="V54" s="45">
        <v>1</v>
      </c>
      <c r="W54" s="46">
        <v>0.5</v>
      </c>
      <c r="X54" s="46">
        <v>0.5</v>
      </c>
      <c r="Y54" s="45">
        <v>1</v>
      </c>
      <c r="Z54" s="46">
        <v>2</v>
      </c>
      <c r="AA54" s="45">
        <v>0</v>
      </c>
      <c r="AB54" s="46">
        <v>0</v>
      </c>
      <c r="AC54" s="45">
        <v>0</v>
      </c>
      <c r="AD54" s="46">
        <v>0</v>
      </c>
      <c r="AE54" s="45">
        <v>16</v>
      </c>
      <c r="AF54" s="46">
        <v>32</v>
      </c>
      <c r="AG54" s="45">
        <v>50</v>
      </c>
      <c r="AH54" s="76"/>
      <c r="AI54" s="76"/>
      <c r="AJ54" s="76"/>
      <c r="AK54" s="80" t="s">
        <v>1210</v>
      </c>
      <c r="AL54" s="80" t="s">
        <v>1210</v>
      </c>
      <c r="AM54" s="80" t="s">
        <v>383</v>
      </c>
      <c r="AN54" s="80"/>
      <c r="AO54" s="80" t="s">
        <v>11246</v>
      </c>
    </row>
    <row r="55" spans="1:41" ht="15">
      <c r="A55" s="61" t="s">
        <v>2401</v>
      </c>
      <c r="B55" s="62" t="s">
        <v>2417</v>
      </c>
      <c r="C55" s="62" t="s">
        <v>57</v>
      </c>
      <c r="D55" s="104"/>
      <c r="E55" s="11"/>
      <c r="F55" s="12" t="s">
        <v>2401</v>
      </c>
      <c r="G55" s="60"/>
      <c r="H55" s="60"/>
      <c r="I55" s="105">
        <v>55</v>
      </c>
      <c r="J55" s="74"/>
      <c r="K55" s="45">
        <v>2</v>
      </c>
      <c r="L55" s="45">
        <v>1</v>
      </c>
      <c r="M55" s="45">
        <v>0</v>
      </c>
      <c r="N55" s="45">
        <v>1</v>
      </c>
      <c r="O55" s="45">
        <v>0</v>
      </c>
      <c r="P55" s="46">
        <v>0</v>
      </c>
      <c r="Q55" s="46">
        <v>0</v>
      </c>
      <c r="R55" s="45">
        <v>1</v>
      </c>
      <c r="S55" s="45">
        <v>0</v>
      </c>
      <c r="T55" s="45">
        <v>2</v>
      </c>
      <c r="U55" s="45">
        <v>1</v>
      </c>
      <c r="V55" s="45">
        <v>1</v>
      </c>
      <c r="W55" s="46">
        <v>0.5</v>
      </c>
      <c r="X55" s="46">
        <v>0.5</v>
      </c>
      <c r="Y55" s="45">
        <v>0</v>
      </c>
      <c r="Z55" s="46">
        <v>0</v>
      </c>
      <c r="AA55" s="45">
        <v>2</v>
      </c>
      <c r="AB55" s="46">
        <v>15.384615384615385</v>
      </c>
      <c r="AC55" s="45">
        <v>0</v>
      </c>
      <c r="AD55" s="46">
        <v>0</v>
      </c>
      <c r="AE55" s="45">
        <v>6</v>
      </c>
      <c r="AF55" s="46">
        <v>46.15384615384615</v>
      </c>
      <c r="AG55" s="45">
        <v>13</v>
      </c>
      <c r="AH55" s="76"/>
      <c r="AI55" s="76"/>
      <c r="AJ55" s="76"/>
      <c r="AK55" s="80" t="s">
        <v>1210</v>
      </c>
      <c r="AL55" s="80" t="s">
        <v>1210</v>
      </c>
      <c r="AM55" s="80" t="s">
        <v>382</v>
      </c>
      <c r="AN55" s="80"/>
      <c r="AO55" s="80" t="s">
        <v>11247</v>
      </c>
    </row>
    <row r="56" spans="1:41" ht="15">
      <c r="A56" s="61" t="s">
        <v>2402</v>
      </c>
      <c r="B56" s="62" t="s">
        <v>2418</v>
      </c>
      <c r="C56" s="62" t="s">
        <v>57</v>
      </c>
      <c r="D56" s="104"/>
      <c r="E56" s="11"/>
      <c r="F56" s="12" t="s">
        <v>2402</v>
      </c>
      <c r="G56" s="60"/>
      <c r="H56" s="60"/>
      <c r="I56" s="105">
        <v>56</v>
      </c>
      <c r="J56" s="74"/>
      <c r="K56" s="45">
        <v>2</v>
      </c>
      <c r="L56" s="45">
        <v>1</v>
      </c>
      <c r="M56" s="45">
        <v>0</v>
      </c>
      <c r="N56" s="45">
        <v>1</v>
      </c>
      <c r="O56" s="45">
        <v>0</v>
      </c>
      <c r="P56" s="46">
        <v>0</v>
      </c>
      <c r="Q56" s="46">
        <v>0</v>
      </c>
      <c r="R56" s="45">
        <v>1</v>
      </c>
      <c r="S56" s="45">
        <v>0</v>
      </c>
      <c r="T56" s="45">
        <v>2</v>
      </c>
      <c r="U56" s="45">
        <v>1</v>
      </c>
      <c r="V56" s="45">
        <v>1</v>
      </c>
      <c r="W56" s="46">
        <v>0.5</v>
      </c>
      <c r="X56" s="46">
        <v>0.5</v>
      </c>
      <c r="Y56" s="45">
        <v>0</v>
      </c>
      <c r="Z56" s="46">
        <v>0</v>
      </c>
      <c r="AA56" s="45">
        <v>3</v>
      </c>
      <c r="AB56" s="46">
        <v>15.789473684210526</v>
      </c>
      <c r="AC56" s="45">
        <v>0</v>
      </c>
      <c r="AD56" s="46">
        <v>0</v>
      </c>
      <c r="AE56" s="45">
        <v>8</v>
      </c>
      <c r="AF56" s="46">
        <v>42.10526315789474</v>
      </c>
      <c r="AG56" s="45">
        <v>19</v>
      </c>
      <c r="AH56" s="76" t="s">
        <v>11034</v>
      </c>
      <c r="AI56" s="76" t="s">
        <v>607</v>
      </c>
      <c r="AJ56" s="76"/>
      <c r="AK56" s="80" t="s">
        <v>1210</v>
      </c>
      <c r="AL56" s="80" t="s">
        <v>1210</v>
      </c>
      <c r="AM56" s="80"/>
      <c r="AN56" s="80" t="s">
        <v>378</v>
      </c>
      <c r="AO56" s="80" t="s">
        <v>11248</v>
      </c>
    </row>
    <row r="57" spans="1:41" ht="15">
      <c r="A57" s="61" t="s">
        <v>2403</v>
      </c>
      <c r="B57" s="62" t="s">
        <v>2419</v>
      </c>
      <c r="C57" s="62" t="s">
        <v>57</v>
      </c>
      <c r="D57" s="104"/>
      <c r="E57" s="11"/>
      <c r="F57" s="12" t="s">
        <v>2403</v>
      </c>
      <c r="G57" s="60"/>
      <c r="H57" s="60"/>
      <c r="I57" s="105">
        <v>57</v>
      </c>
      <c r="J57" s="74"/>
      <c r="K57" s="45">
        <v>2</v>
      </c>
      <c r="L57" s="45">
        <v>1</v>
      </c>
      <c r="M57" s="45">
        <v>0</v>
      </c>
      <c r="N57" s="45">
        <v>1</v>
      </c>
      <c r="O57" s="45">
        <v>0</v>
      </c>
      <c r="P57" s="46">
        <v>0</v>
      </c>
      <c r="Q57" s="46">
        <v>0</v>
      </c>
      <c r="R57" s="45">
        <v>1</v>
      </c>
      <c r="S57" s="45">
        <v>0</v>
      </c>
      <c r="T57" s="45">
        <v>2</v>
      </c>
      <c r="U57" s="45">
        <v>1</v>
      </c>
      <c r="V57" s="45">
        <v>1</v>
      </c>
      <c r="W57" s="46">
        <v>0.5</v>
      </c>
      <c r="X57" s="46">
        <v>0.5</v>
      </c>
      <c r="Y57" s="45">
        <v>1</v>
      </c>
      <c r="Z57" s="46">
        <v>2.4390243902439024</v>
      </c>
      <c r="AA57" s="45">
        <v>4</v>
      </c>
      <c r="AB57" s="46">
        <v>9.75609756097561</v>
      </c>
      <c r="AC57" s="45">
        <v>0</v>
      </c>
      <c r="AD57" s="46">
        <v>0</v>
      </c>
      <c r="AE57" s="45">
        <v>18</v>
      </c>
      <c r="AF57" s="46">
        <v>43.90243902439025</v>
      </c>
      <c r="AG57" s="45">
        <v>41</v>
      </c>
      <c r="AH57" s="76"/>
      <c r="AI57" s="76"/>
      <c r="AJ57" s="76" t="s">
        <v>588</v>
      </c>
      <c r="AK57" s="80" t="s">
        <v>1210</v>
      </c>
      <c r="AL57" s="80" t="s">
        <v>1210</v>
      </c>
      <c r="AM57" s="80" t="s">
        <v>377</v>
      </c>
      <c r="AN57" s="80"/>
      <c r="AO57" s="80" t="s">
        <v>11249</v>
      </c>
    </row>
    <row r="58" spans="1:41" ht="15">
      <c r="A58" s="61" t="s">
        <v>2404</v>
      </c>
      <c r="B58" s="62" t="s">
        <v>2420</v>
      </c>
      <c r="C58" s="62" t="s">
        <v>57</v>
      </c>
      <c r="D58" s="104"/>
      <c r="E58" s="11"/>
      <c r="F58" s="12" t="s">
        <v>11683</v>
      </c>
      <c r="G58" s="60"/>
      <c r="H58" s="60"/>
      <c r="I58" s="105">
        <v>58</v>
      </c>
      <c r="J58" s="74"/>
      <c r="K58" s="45">
        <v>2</v>
      </c>
      <c r="L58" s="45">
        <v>1</v>
      </c>
      <c r="M58" s="45">
        <v>0</v>
      </c>
      <c r="N58" s="45">
        <v>1</v>
      </c>
      <c r="O58" s="45">
        <v>0</v>
      </c>
      <c r="P58" s="46">
        <v>0</v>
      </c>
      <c r="Q58" s="46">
        <v>0</v>
      </c>
      <c r="R58" s="45">
        <v>1</v>
      </c>
      <c r="S58" s="45">
        <v>0</v>
      </c>
      <c r="T58" s="45">
        <v>2</v>
      </c>
      <c r="U58" s="45">
        <v>1</v>
      </c>
      <c r="V58" s="45">
        <v>1</v>
      </c>
      <c r="W58" s="46">
        <v>0.5</v>
      </c>
      <c r="X58" s="46">
        <v>0.5</v>
      </c>
      <c r="Y58" s="45">
        <v>0</v>
      </c>
      <c r="Z58" s="46">
        <v>0</v>
      </c>
      <c r="AA58" s="45">
        <v>2</v>
      </c>
      <c r="AB58" s="46">
        <v>3.9215686274509802</v>
      </c>
      <c r="AC58" s="45">
        <v>0</v>
      </c>
      <c r="AD58" s="46">
        <v>0</v>
      </c>
      <c r="AE58" s="45">
        <v>22</v>
      </c>
      <c r="AF58" s="46">
        <v>43.13725490196079</v>
      </c>
      <c r="AG58" s="45">
        <v>51</v>
      </c>
      <c r="AH58" s="76"/>
      <c r="AI58" s="76"/>
      <c r="AJ58" s="76"/>
      <c r="AK58" s="80" t="s">
        <v>11097</v>
      </c>
      <c r="AL58" s="80" t="s">
        <v>11142</v>
      </c>
      <c r="AM58" s="80" t="s">
        <v>375</v>
      </c>
      <c r="AN58" s="80"/>
      <c r="AO58" s="80" t="s">
        <v>11250</v>
      </c>
    </row>
    <row r="59" spans="1:41" ht="15">
      <c r="A59" s="61" t="s">
        <v>2405</v>
      </c>
      <c r="B59" s="62" t="s">
        <v>2421</v>
      </c>
      <c r="C59" s="62" t="s">
        <v>57</v>
      </c>
      <c r="D59" s="104"/>
      <c r="E59" s="11"/>
      <c r="F59" s="12" t="s">
        <v>2405</v>
      </c>
      <c r="G59" s="60"/>
      <c r="H59" s="60"/>
      <c r="I59" s="105">
        <v>59</v>
      </c>
      <c r="J59" s="74"/>
      <c r="K59" s="45">
        <v>2</v>
      </c>
      <c r="L59" s="45">
        <v>1</v>
      </c>
      <c r="M59" s="45">
        <v>0</v>
      </c>
      <c r="N59" s="45">
        <v>1</v>
      </c>
      <c r="O59" s="45">
        <v>0</v>
      </c>
      <c r="P59" s="46">
        <v>0</v>
      </c>
      <c r="Q59" s="46">
        <v>0</v>
      </c>
      <c r="R59" s="45">
        <v>1</v>
      </c>
      <c r="S59" s="45">
        <v>0</v>
      </c>
      <c r="T59" s="45">
        <v>2</v>
      </c>
      <c r="U59" s="45">
        <v>1</v>
      </c>
      <c r="V59" s="45">
        <v>1</v>
      </c>
      <c r="W59" s="46">
        <v>0.5</v>
      </c>
      <c r="X59" s="46">
        <v>0.5</v>
      </c>
      <c r="Y59" s="45">
        <v>1</v>
      </c>
      <c r="Z59" s="46">
        <v>5.555555555555555</v>
      </c>
      <c r="AA59" s="45">
        <v>1</v>
      </c>
      <c r="AB59" s="46">
        <v>5.555555555555555</v>
      </c>
      <c r="AC59" s="45">
        <v>0</v>
      </c>
      <c r="AD59" s="46">
        <v>0</v>
      </c>
      <c r="AE59" s="45">
        <v>8</v>
      </c>
      <c r="AF59" s="46">
        <v>44.44444444444444</v>
      </c>
      <c r="AG59" s="45">
        <v>18</v>
      </c>
      <c r="AH59" s="76"/>
      <c r="AI59" s="76"/>
      <c r="AJ59" s="76"/>
      <c r="AK59" s="80" t="s">
        <v>1210</v>
      </c>
      <c r="AL59" s="80" t="s">
        <v>1210</v>
      </c>
      <c r="AM59" s="80" t="s">
        <v>369</v>
      </c>
      <c r="AN59" s="80"/>
      <c r="AO59" s="80" t="s">
        <v>11251</v>
      </c>
    </row>
    <row r="60" spans="1:41" ht="15">
      <c r="A60" s="61" t="s">
        <v>2406</v>
      </c>
      <c r="B60" s="62" t="s">
        <v>2422</v>
      </c>
      <c r="C60" s="62" t="s">
        <v>57</v>
      </c>
      <c r="D60" s="104"/>
      <c r="E60" s="11"/>
      <c r="F60" s="12" t="s">
        <v>2406</v>
      </c>
      <c r="G60" s="60"/>
      <c r="H60" s="60"/>
      <c r="I60" s="105">
        <v>60</v>
      </c>
      <c r="J60" s="74"/>
      <c r="K60" s="45">
        <v>2</v>
      </c>
      <c r="L60" s="45">
        <v>1</v>
      </c>
      <c r="M60" s="45">
        <v>0</v>
      </c>
      <c r="N60" s="45">
        <v>1</v>
      </c>
      <c r="O60" s="45">
        <v>0</v>
      </c>
      <c r="P60" s="46">
        <v>0</v>
      </c>
      <c r="Q60" s="46">
        <v>0</v>
      </c>
      <c r="R60" s="45">
        <v>1</v>
      </c>
      <c r="S60" s="45">
        <v>0</v>
      </c>
      <c r="T60" s="45">
        <v>2</v>
      </c>
      <c r="U60" s="45">
        <v>1</v>
      </c>
      <c r="V60" s="45">
        <v>1</v>
      </c>
      <c r="W60" s="46">
        <v>0.5</v>
      </c>
      <c r="X60" s="46">
        <v>0.5</v>
      </c>
      <c r="Y60" s="45">
        <v>0</v>
      </c>
      <c r="Z60" s="46">
        <v>0</v>
      </c>
      <c r="AA60" s="45">
        <v>2</v>
      </c>
      <c r="AB60" s="46">
        <v>11.764705882352942</v>
      </c>
      <c r="AC60" s="45">
        <v>0</v>
      </c>
      <c r="AD60" s="46">
        <v>0</v>
      </c>
      <c r="AE60" s="45">
        <v>12</v>
      </c>
      <c r="AF60" s="46">
        <v>70.58823529411765</v>
      </c>
      <c r="AG60" s="45">
        <v>17</v>
      </c>
      <c r="AH60" s="76" t="s">
        <v>11035</v>
      </c>
      <c r="AI60" s="76" t="s">
        <v>603</v>
      </c>
      <c r="AJ60" s="76"/>
      <c r="AK60" s="80" t="s">
        <v>1210</v>
      </c>
      <c r="AL60" s="80" t="s">
        <v>1210</v>
      </c>
      <c r="AM60" s="80"/>
      <c r="AN60" s="80" t="s">
        <v>364</v>
      </c>
      <c r="AO60" s="80" t="s">
        <v>11252</v>
      </c>
    </row>
    <row r="61" spans="1:41" ht="15">
      <c r="A61" s="61" t="s">
        <v>2407</v>
      </c>
      <c r="B61" s="62" t="s">
        <v>2423</v>
      </c>
      <c r="C61" s="62" t="s">
        <v>57</v>
      </c>
      <c r="D61" s="104"/>
      <c r="E61" s="11"/>
      <c r="F61" s="12" t="s">
        <v>11684</v>
      </c>
      <c r="G61" s="60"/>
      <c r="H61" s="60"/>
      <c r="I61" s="105">
        <v>61</v>
      </c>
      <c r="J61" s="74"/>
      <c r="K61" s="45">
        <v>2</v>
      </c>
      <c r="L61" s="45">
        <v>2</v>
      </c>
      <c r="M61" s="45">
        <v>0</v>
      </c>
      <c r="N61" s="45">
        <v>2</v>
      </c>
      <c r="O61" s="45">
        <v>1</v>
      </c>
      <c r="P61" s="46">
        <v>0</v>
      </c>
      <c r="Q61" s="46">
        <v>0</v>
      </c>
      <c r="R61" s="45">
        <v>1</v>
      </c>
      <c r="S61" s="45">
        <v>0</v>
      </c>
      <c r="T61" s="45">
        <v>2</v>
      </c>
      <c r="U61" s="45">
        <v>2</v>
      </c>
      <c r="V61" s="45">
        <v>1</v>
      </c>
      <c r="W61" s="46">
        <v>0.5</v>
      </c>
      <c r="X61" s="46">
        <v>0.5</v>
      </c>
      <c r="Y61" s="45">
        <v>1</v>
      </c>
      <c r="Z61" s="46">
        <v>2.127659574468085</v>
      </c>
      <c r="AA61" s="45">
        <v>9</v>
      </c>
      <c r="AB61" s="46">
        <v>19.148936170212767</v>
      </c>
      <c r="AC61" s="45">
        <v>0</v>
      </c>
      <c r="AD61" s="46">
        <v>0</v>
      </c>
      <c r="AE61" s="45">
        <v>19</v>
      </c>
      <c r="AF61" s="46">
        <v>40.42553191489362</v>
      </c>
      <c r="AG61" s="45">
        <v>47</v>
      </c>
      <c r="AH61" s="76" t="s">
        <v>11036</v>
      </c>
      <c r="AI61" s="76" t="s">
        <v>602</v>
      </c>
      <c r="AJ61" s="76" t="s">
        <v>585</v>
      </c>
      <c r="AK61" s="80" t="s">
        <v>11098</v>
      </c>
      <c r="AL61" s="80" t="s">
        <v>11103</v>
      </c>
      <c r="AM61" s="80" t="s">
        <v>358</v>
      </c>
      <c r="AN61" s="80"/>
      <c r="AO61" s="80" t="s">
        <v>11253</v>
      </c>
    </row>
    <row r="62" spans="1:41" ht="15">
      <c r="A62" s="61" t="s">
        <v>2408</v>
      </c>
      <c r="B62" s="62" t="s">
        <v>2424</v>
      </c>
      <c r="C62" s="62" t="s">
        <v>57</v>
      </c>
      <c r="D62" s="104"/>
      <c r="E62" s="11"/>
      <c r="F62" s="12" t="s">
        <v>2408</v>
      </c>
      <c r="G62" s="60"/>
      <c r="H62" s="60"/>
      <c r="I62" s="105">
        <v>62</v>
      </c>
      <c r="J62" s="74"/>
      <c r="K62" s="45">
        <v>2</v>
      </c>
      <c r="L62" s="45">
        <v>1</v>
      </c>
      <c r="M62" s="45">
        <v>0</v>
      </c>
      <c r="N62" s="45">
        <v>1</v>
      </c>
      <c r="O62" s="45">
        <v>0</v>
      </c>
      <c r="P62" s="46">
        <v>0</v>
      </c>
      <c r="Q62" s="46">
        <v>0</v>
      </c>
      <c r="R62" s="45">
        <v>1</v>
      </c>
      <c r="S62" s="45">
        <v>0</v>
      </c>
      <c r="T62" s="45">
        <v>2</v>
      </c>
      <c r="U62" s="45">
        <v>1</v>
      </c>
      <c r="V62" s="45">
        <v>1</v>
      </c>
      <c r="W62" s="46">
        <v>0.5</v>
      </c>
      <c r="X62" s="46">
        <v>0.5</v>
      </c>
      <c r="Y62" s="45">
        <v>3</v>
      </c>
      <c r="Z62" s="46">
        <v>12</v>
      </c>
      <c r="AA62" s="45">
        <v>1</v>
      </c>
      <c r="AB62" s="46">
        <v>4</v>
      </c>
      <c r="AC62" s="45">
        <v>0</v>
      </c>
      <c r="AD62" s="46">
        <v>0</v>
      </c>
      <c r="AE62" s="45">
        <v>7</v>
      </c>
      <c r="AF62" s="46">
        <v>28</v>
      </c>
      <c r="AG62" s="45">
        <v>25</v>
      </c>
      <c r="AH62" s="76"/>
      <c r="AI62" s="76"/>
      <c r="AJ62" s="76"/>
      <c r="AK62" s="80" t="s">
        <v>1210</v>
      </c>
      <c r="AL62" s="80" t="s">
        <v>1210</v>
      </c>
      <c r="AM62" s="80" t="s">
        <v>355</v>
      </c>
      <c r="AN62" s="80"/>
      <c r="AO62" s="80" t="s">
        <v>11254</v>
      </c>
    </row>
    <row r="63" spans="1:41" ht="15">
      <c r="A63" s="61" t="s">
        <v>2409</v>
      </c>
      <c r="B63" s="62" t="s">
        <v>2413</v>
      </c>
      <c r="C63" s="62" t="s">
        <v>55</v>
      </c>
      <c r="D63" s="104"/>
      <c r="E63" s="11"/>
      <c r="F63" s="12" t="s">
        <v>11685</v>
      </c>
      <c r="G63" s="60"/>
      <c r="H63" s="60"/>
      <c r="I63" s="105">
        <v>63</v>
      </c>
      <c r="J63" s="74"/>
      <c r="K63" s="45">
        <v>2</v>
      </c>
      <c r="L63" s="45">
        <v>2</v>
      </c>
      <c r="M63" s="45">
        <v>0</v>
      </c>
      <c r="N63" s="45">
        <v>2</v>
      </c>
      <c r="O63" s="45">
        <v>1</v>
      </c>
      <c r="P63" s="46">
        <v>0</v>
      </c>
      <c r="Q63" s="46">
        <v>0</v>
      </c>
      <c r="R63" s="45">
        <v>1</v>
      </c>
      <c r="S63" s="45">
        <v>0</v>
      </c>
      <c r="T63" s="45">
        <v>2</v>
      </c>
      <c r="U63" s="45">
        <v>2</v>
      </c>
      <c r="V63" s="45">
        <v>1</v>
      </c>
      <c r="W63" s="46">
        <v>0.5</v>
      </c>
      <c r="X63" s="46">
        <v>0.5</v>
      </c>
      <c r="Y63" s="45">
        <v>2</v>
      </c>
      <c r="Z63" s="46">
        <v>2.247191011235955</v>
      </c>
      <c r="AA63" s="45">
        <v>4</v>
      </c>
      <c r="AB63" s="46">
        <v>4.49438202247191</v>
      </c>
      <c r="AC63" s="45">
        <v>0</v>
      </c>
      <c r="AD63" s="46">
        <v>0</v>
      </c>
      <c r="AE63" s="45">
        <v>33</v>
      </c>
      <c r="AF63" s="46">
        <v>37.07865168539326</v>
      </c>
      <c r="AG63" s="45">
        <v>89</v>
      </c>
      <c r="AH63" s="76"/>
      <c r="AI63" s="76"/>
      <c r="AJ63" s="76"/>
      <c r="AK63" s="80" t="s">
        <v>11099</v>
      </c>
      <c r="AL63" s="80" t="s">
        <v>11143</v>
      </c>
      <c r="AM63" s="80"/>
      <c r="AN63" s="80"/>
      <c r="AO63" s="80" t="s">
        <v>11255</v>
      </c>
    </row>
    <row r="64" spans="1:41" ht="15">
      <c r="A64" s="61" t="s">
        <v>2410</v>
      </c>
      <c r="B64" s="62" t="s">
        <v>2414</v>
      </c>
      <c r="C64" s="62" t="s">
        <v>55</v>
      </c>
      <c r="D64" s="104"/>
      <c r="E64" s="11"/>
      <c r="F64" s="12" t="s">
        <v>11686</v>
      </c>
      <c r="G64" s="60"/>
      <c r="H64" s="60"/>
      <c r="I64" s="105">
        <v>64</v>
      </c>
      <c r="J64" s="74"/>
      <c r="K64" s="45">
        <v>2</v>
      </c>
      <c r="L64" s="45">
        <v>2</v>
      </c>
      <c r="M64" s="45">
        <v>0</v>
      </c>
      <c r="N64" s="45">
        <v>2</v>
      </c>
      <c r="O64" s="45">
        <v>1</v>
      </c>
      <c r="P64" s="46">
        <v>0</v>
      </c>
      <c r="Q64" s="46">
        <v>0</v>
      </c>
      <c r="R64" s="45">
        <v>1</v>
      </c>
      <c r="S64" s="45">
        <v>0</v>
      </c>
      <c r="T64" s="45">
        <v>2</v>
      </c>
      <c r="U64" s="45">
        <v>2</v>
      </c>
      <c r="V64" s="45">
        <v>1</v>
      </c>
      <c r="W64" s="46">
        <v>0.5</v>
      </c>
      <c r="X64" s="46">
        <v>0.5</v>
      </c>
      <c r="Y64" s="45">
        <v>2</v>
      </c>
      <c r="Z64" s="46">
        <v>2.150537634408602</v>
      </c>
      <c r="AA64" s="45">
        <v>6</v>
      </c>
      <c r="AB64" s="46">
        <v>6.451612903225806</v>
      </c>
      <c r="AC64" s="45">
        <v>0</v>
      </c>
      <c r="AD64" s="46">
        <v>0</v>
      </c>
      <c r="AE64" s="45">
        <v>36</v>
      </c>
      <c r="AF64" s="46">
        <v>38.70967741935484</v>
      </c>
      <c r="AG64" s="45">
        <v>93</v>
      </c>
      <c r="AH64" s="76"/>
      <c r="AI64" s="76"/>
      <c r="AJ64" s="76"/>
      <c r="AK64" s="80" t="s">
        <v>11100</v>
      </c>
      <c r="AL64" s="80" t="s">
        <v>1210</v>
      </c>
      <c r="AM64" s="80" t="s">
        <v>354</v>
      </c>
      <c r="AN64" s="80"/>
      <c r="AO64" s="80" t="s">
        <v>11256</v>
      </c>
    </row>
    <row r="65" spans="1:41" ht="15">
      <c r="A65" s="61" t="s">
        <v>2411</v>
      </c>
      <c r="B65" s="62" t="s">
        <v>2415</v>
      </c>
      <c r="C65" s="62" t="s">
        <v>55</v>
      </c>
      <c r="D65" s="104"/>
      <c r="E65" s="11"/>
      <c r="F65" s="12" t="s">
        <v>11687</v>
      </c>
      <c r="G65" s="60"/>
      <c r="H65" s="60"/>
      <c r="I65" s="105">
        <v>65</v>
      </c>
      <c r="J65" s="74"/>
      <c r="K65" s="45">
        <v>2</v>
      </c>
      <c r="L65" s="45">
        <v>1</v>
      </c>
      <c r="M65" s="45">
        <v>0</v>
      </c>
      <c r="N65" s="45">
        <v>1</v>
      </c>
      <c r="O65" s="45">
        <v>0</v>
      </c>
      <c r="P65" s="46">
        <v>0</v>
      </c>
      <c r="Q65" s="46">
        <v>0</v>
      </c>
      <c r="R65" s="45">
        <v>1</v>
      </c>
      <c r="S65" s="45">
        <v>0</v>
      </c>
      <c r="T65" s="45">
        <v>2</v>
      </c>
      <c r="U65" s="45">
        <v>1</v>
      </c>
      <c r="V65" s="45">
        <v>1</v>
      </c>
      <c r="W65" s="46">
        <v>0.5</v>
      </c>
      <c r="X65" s="46">
        <v>0.5</v>
      </c>
      <c r="Y65" s="45">
        <v>0</v>
      </c>
      <c r="Z65" s="46">
        <v>0</v>
      </c>
      <c r="AA65" s="45">
        <v>4</v>
      </c>
      <c r="AB65" s="46">
        <v>7.8431372549019605</v>
      </c>
      <c r="AC65" s="45">
        <v>0</v>
      </c>
      <c r="AD65" s="46">
        <v>0</v>
      </c>
      <c r="AE65" s="45">
        <v>22</v>
      </c>
      <c r="AF65" s="46">
        <v>43.13725490196079</v>
      </c>
      <c r="AG65" s="45">
        <v>51</v>
      </c>
      <c r="AH65" s="76"/>
      <c r="AI65" s="76"/>
      <c r="AJ65" s="76"/>
      <c r="AK65" s="80" t="s">
        <v>11101</v>
      </c>
      <c r="AL65" s="80" t="s">
        <v>1210</v>
      </c>
      <c r="AM65" s="80" t="s">
        <v>349</v>
      </c>
      <c r="AN65" s="80"/>
      <c r="AO65" s="80" t="s">
        <v>11257</v>
      </c>
    </row>
    <row r="66" spans="1:41" ht="15">
      <c r="A66" s="61" t="s">
        <v>2412</v>
      </c>
      <c r="B66" s="62" t="s">
        <v>2416</v>
      </c>
      <c r="C66" s="62" t="s">
        <v>55</v>
      </c>
      <c r="D66" s="104"/>
      <c r="E66" s="11"/>
      <c r="F66" s="12" t="s">
        <v>2412</v>
      </c>
      <c r="G66" s="60"/>
      <c r="H66" s="60"/>
      <c r="I66" s="105">
        <v>66</v>
      </c>
      <c r="J66" s="74"/>
      <c r="K66" s="45">
        <v>2</v>
      </c>
      <c r="L66" s="45">
        <v>1</v>
      </c>
      <c r="M66" s="45">
        <v>0</v>
      </c>
      <c r="N66" s="45">
        <v>1</v>
      </c>
      <c r="O66" s="45">
        <v>0</v>
      </c>
      <c r="P66" s="46">
        <v>0</v>
      </c>
      <c r="Q66" s="46">
        <v>0</v>
      </c>
      <c r="R66" s="45">
        <v>1</v>
      </c>
      <c r="S66" s="45">
        <v>0</v>
      </c>
      <c r="T66" s="45">
        <v>2</v>
      </c>
      <c r="U66" s="45">
        <v>1</v>
      </c>
      <c r="V66" s="45">
        <v>1</v>
      </c>
      <c r="W66" s="46">
        <v>0.5</v>
      </c>
      <c r="X66" s="46">
        <v>0.5</v>
      </c>
      <c r="Y66" s="45">
        <v>0</v>
      </c>
      <c r="Z66" s="46">
        <v>0</v>
      </c>
      <c r="AA66" s="45">
        <v>2</v>
      </c>
      <c r="AB66" s="46">
        <v>6.666666666666667</v>
      </c>
      <c r="AC66" s="45">
        <v>0</v>
      </c>
      <c r="AD66" s="46">
        <v>0</v>
      </c>
      <c r="AE66" s="45">
        <v>14</v>
      </c>
      <c r="AF66" s="46">
        <v>46.666666666666664</v>
      </c>
      <c r="AG66" s="45">
        <v>30</v>
      </c>
      <c r="AH66" s="76" t="s">
        <v>11037</v>
      </c>
      <c r="AI66" s="76" t="s">
        <v>620</v>
      </c>
      <c r="AJ66" s="76" t="s">
        <v>597</v>
      </c>
      <c r="AK66" s="80" t="s">
        <v>1210</v>
      </c>
      <c r="AL66" s="80" t="s">
        <v>1210</v>
      </c>
      <c r="AM66" s="80"/>
      <c r="AN66" s="80" t="s">
        <v>436</v>
      </c>
      <c r="AO66" s="80" t="s">
        <v>11258</v>
      </c>
    </row>
  </sheetData>
  <dataValidations count="8">
    <dataValidation allowBlank="1" showInputMessage="1" promptTitle="Group Vertex Color" prompt="To select a color to use for all vertices in the group, right-click and select Select Color on the right-click menu." sqref="B3:B6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6">
      <formula1>ValidGroupShapes</formula1>
    </dataValidation>
    <dataValidation allowBlank="1" showInputMessage="1" showErrorMessage="1" promptTitle="Group Name" prompt="Enter the name of the group." sqref="A3:A6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6">
      <formula1>ValidBooleansDefaultFalse</formula1>
    </dataValidation>
    <dataValidation allowBlank="1" sqref="K3:K66"/>
    <dataValidation allowBlank="1" showInputMessage="1" showErrorMessage="1" promptTitle="Group Label" prompt="Enter an optional group label." errorTitle="Invalid Group Collapsed" error="You have entered an unrecognized &quot;group collapsed.&quot;  Try selecting from the drop-down list instead." sqref="F3:F6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2349</v>
      </c>
      <c r="B2" s="80" t="s">
        <v>224</v>
      </c>
      <c r="C2" s="76">
        <f>VLOOKUP("~"&amp;GroupVertices[[#This Row],[Vertex]],Vertices[],MATCH("ID",Vertices[[#Headers],[Vertex]:[Top Word Pairs in Tweet by Salience]],0),FALSE)</f>
        <v>8</v>
      </c>
    </row>
    <row r="3" spans="1:3" ht="15">
      <c r="A3" s="77" t="s">
        <v>2349</v>
      </c>
      <c r="B3" s="80" t="s">
        <v>229</v>
      </c>
      <c r="C3" s="76">
        <f>VLOOKUP("~"&amp;GroupVertices[[#This Row],[Vertex]],Vertices[],MATCH("ID",Vertices[[#Headers],[Vertex]:[Top Word Pairs in Tweet by Salience]],0),FALSE)</f>
        <v>22</v>
      </c>
    </row>
    <row r="4" spans="1:3" ht="15">
      <c r="A4" s="77" t="s">
        <v>2349</v>
      </c>
      <c r="B4" s="80" t="s">
        <v>231</v>
      </c>
      <c r="C4" s="76">
        <f>VLOOKUP("~"&amp;GroupVertices[[#This Row],[Vertex]],Vertices[],MATCH("ID",Vertices[[#Headers],[Vertex]:[Top Word Pairs in Tweet by Salience]],0),FALSE)</f>
        <v>25</v>
      </c>
    </row>
    <row r="5" spans="1:3" ht="15">
      <c r="A5" s="77" t="s">
        <v>2349</v>
      </c>
      <c r="B5" s="80" t="s">
        <v>234</v>
      </c>
      <c r="C5" s="76">
        <f>VLOOKUP("~"&amp;GroupVertices[[#This Row],[Vertex]],Vertices[],MATCH("ID",Vertices[[#Headers],[Vertex]:[Top Word Pairs in Tweet by Salience]],0),FALSE)</f>
        <v>32</v>
      </c>
    </row>
    <row r="6" spans="1:3" ht="15">
      <c r="A6" s="77" t="s">
        <v>2349</v>
      </c>
      <c r="B6" s="80" t="s">
        <v>235</v>
      </c>
      <c r="C6" s="76">
        <f>VLOOKUP("~"&amp;GroupVertices[[#This Row],[Vertex]],Vertices[],MATCH("ID",Vertices[[#Headers],[Vertex]:[Top Word Pairs in Tweet by Salience]],0),FALSE)</f>
        <v>33</v>
      </c>
    </row>
    <row r="7" spans="1:3" ht="15">
      <c r="A7" s="77" t="s">
        <v>2349</v>
      </c>
      <c r="B7" s="80" t="s">
        <v>237</v>
      </c>
      <c r="C7" s="76">
        <f>VLOOKUP("~"&amp;GroupVertices[[#This Row],[Vertex]],Vertices[],MATCH("ID",Vertices[[#Headers],[Vertex]:[Top Word Pairs in Tweet by Salience]],0),FALSE)</f>
        <v>36</v>
      </c>
    </row>
    <row r="8" spans="1:3" ht="15">
      <c r="A8" s="77" t="s">
        <v>2349</v>
      </c>
      <c r="B8" s="80" t="s">
        <v>238</v>
      </c>
      <c r="C8" s="76">
        <f>VLOOKUP("~"&amp;GroupVertices[[#This Row],[Vertex]],Vertices[],MATCH("ID",Vertices[[#Headers],[Vertex]:[Top Word Pairs in Tweet by Salience]],0),FALSE)</f>
        <v>37</v>
      </c>
    </row>
    <row r="9" spans="1:3" ht="15">
      <c r="A9" s="77" t="s">
        <v>2349</v>
      </c>
      <c r="B9" s="80" t="s">
        <v>242</v>
      </c>
      <c r="C9" s="76">
        <f>VLOOKUP("~"&amp;GroupVertices[[#This Row],[Vertex]],Vertices[],MATCH("ID",Vertices[[#Headers],[Vertex]:[Top Word Pairs in Tweet by Salience]],0),FALSE)</f>
        <v>45</v>
      </c>
    </row>
    <row r="10" spans="1:3" ht="15">
      <c r="A10" s="77" t="s">
        <v>2349</v>
      </c>
      <c r="B10" s="80" t="s">
        <v>247</v>
      </c>
      <c r="C10" s="76">
        <f>VLOOKUP("~"&amp;GroupVertices[[#This Row],[Vertex]],Vertices[],MATCH("ID",Vertices[[#Headers],[Vertex]:[Top Word Pairs in Tweet by Salience]],0),FALSE)</f>
        <v>58</v>
      </c>
    </row>
    <row r="11" spans="1:3" ht="15">
      <c r="A11" s="77" t="s">
        <v>2349</v>
      </c>
      <c r="B11" s="80" t="s">
        <v>249</v>
      </c>
      <c r="C11" s="76">
        <f>VLOOKUP("~"&amp;GroupVertices[[#This Row],[Vertex]],Vertices[],MATCH("ID",Vertices[[#Headers],[Vertex]:[Top Word Pairs in Tweet by Salience]],0),FALSE)</f>
        <v>61</v>
      </c>
    </row>
    <row r="12" spans="1:3" ht="15">
      <c r="A12" s="77" t="s">
        <v>2349</v>
      </c>
      <c r="B12" s="80" t="s">
        <v>253</v>
      </c>
      <c r="C12" s="76">
        <f>VLOOKUP("~"&amp;GroupVertices[[#This Row],[Vertex]],Vertices[],MATCH("ID",Vertices[[#Headers],[Vertex]:[Top Word Pairs in Tweet by Salience]],0),FALSE)</f>
        <v>70</v>
      </c>
    </row>
    <row r="13" spans="1:3" ht="15">
      <c r="A13" s="77" t="s">
        <v>2349</v>
      </c>
      <c r="B13" s="80" t="s">
        <v>255</v>
      </c>
      <c r="C13" s="76">
        <f>VLOOKUP("~"&amp;GroupVertices[[#This Row],[Vertex]],Vertices[],MATCH("ID",Vertices[[#Headers],[Vertex]:[Top Word Pairs in Tweet by Salience]],0),FALSE)</f>
        <v>74</v>
      </c>
    </row>
    <row r="14" spans="1:3" ht="15">
      <c r="A14" s="77" t="s">
        <v>2349</v>
      </c>
      <c r="B14" s="80" t="s">
        <v>256</v>
      </c>
      <c r="C14" s="76">
        <f>VLOOKUP("~"&amp;GroupVertices[[#This Row],[Vertex]],Vertices[],MATCH("ID",Vertices[[#Headers],[Vertex]:[Top Word Pairs in Tweet by Salience]],0),FALSE)</f>
        <v>75</v>
      </c>
    </row>
    <row r="15" spans="1:3" ht="15">
      <c r="A15" s="77" t="s">
        <v>2349</v>
      </c>
      <c r="B15" s="80" t="s">
        <v>258</v>
      </c>
      <c r="C15" s="76">
        <f>VLOOKUP("~"&amp;GroupVertices[[#This Row],[Vertex]],Vertices[],MATCH("ID",Vertices[[#Headers],[Vertex]:[Top Word Pairs in Tweet by Salience]],0),FALSE)</f>
        <v>80</v>
      </c>
    </row>
    <row r="16" spans="1:3" ht="15">
      <c r="A16" s="77" t="s">
        <v>2349</v>
      </c>
      <c r="B16" s="80" t="s">
        <v>260</v>
      </c>
      <c r="C16" s="76">
        <f>VLOOKUP("~"&amp;GroupVertices[[#This Row],[Vertex]],Vertices[],MATCH("ID",Vertices[[#Headers],[Vertex]:[Top Word Pairs in Tweet by Salience]],0),FALSE)</f>
        <v>83</v>
      </c>
    </row>
    <row r="17" spans="1:3" ht="15">
      <c r="A17" s="77" t="s">
        <v>2349</v>
      </c>
      <c r="B17" s="80" t="s">
        <v>261</v>
      </c>
      <c r="C17" s="76">
        <f>VLOOKUP("~"&amp;GroupVertices[[#This Row],[Vertex]],Vertices[],MATCH("ID",Vertices[[#Headers],[Vertex]:[Top Word Pairs in Tweet by Salience]],0),FALSE)</f>
        <v>84</v>
      </c>
    </row>
    <row r="18" spans="1:3" ht="15">
      <c r="A18" s="77" t="s">
        <v>2349</v>
      </c>
      <c r="B18" s="80" t="s">
        <v>264</v>
      </c>
      <c r="C18" s="76">
        <f>VLOOKUP("~"&amp;GroupVertices[[#This Row],[Vertex]],Vertices[],MATCH("ID",Vertices[[#Headers],[Vertex]:[Top Word Pairs in Tweet by Salience]],0),FALSE)</f>
        <v>88</v>
      </c>
    </row>
    <row r="19" spans="1:3" ht="15">
      <c r="A19" s="77" t="s">
        <v>2349</v>
      </c>
      <c r="B19" s="80" t="s">
        <v>269</v>
      </c>
      <c r="C19" s="76">
        <f>VLOOKUP("~"&amp;GroupVertices[[#This Row],[Vertex]],Vertices[],MATCH("ID",Vertices[[#Headers],[Vertex]:[Top Word Pairs in Tweet by Salience]],0),FALSE)</f>
        <v>96</v>
      </c>
    </row>
    <row r="20" spans="1:3" ht="15">
      <c r="A20" s="77" t="s">
        <v>2349</v>
      </c>
      <c r="B20" s="80" t="s">
        <v>271</v>
      </c>
      <c r="C20" s="76">
        <f>VLOOKUP("~"&amp;GroupVertices[[#This Row],[Vertex]],Vertices[],MATCH("ID",Vertices[[#Headers],[Vertex]:[Top Word Pairs in Tweet by Salience]],0),FALSE)</f>
        <v>100</v>
      </c>
    </row>
    <row r="21" spans="1:3" ht="15">
      <c r="A21" s="77" t="s">
        <v>2349</v>
      </c>
      <c r="B21" s="80" t="s">
        <v>276</v>
      </c>
      <c r="C21" s="76">
        <f>VLOOKUP("~"&amp;GroupVertices[[#This Row],[Vertex]],Vertices[],MATCH("ID",Vertices[[#Headers],[Vertex]:[Top Word Pairs in Tweet by Salience]],0),FALSE)</f>
        <v>109</v>
      </c>
    </row>
    <row r="22" spans="1:3" ht="15">
      <c r="A22" s="77" t="s">
        <v>2349</v>
      </c>
      <c r="B22" s="80" t="s">
        <v>281</v>
      </c>
      <c r="C22" s="76">
        <f>VLOOKUP("~"&amp;GroupVertices[[#This Row],[Vertex]],Vertices[],MATCH("ID",Vertices[[#Headers],[Vertex]:[Top Word Pairs in Tweet by Salience]],0),FALSE)</f>
        <v>116</v>
      </c>
    </row>
    <row r="23" spans="1:3" ht="15">
      <c r="A23" s="77" t="s">
        <v>2349</v>
      </c>
      <c r="B23" s="80" t="s">
        <v>284</v>
      </c>
      <c r="C23" s="76">
        <f>VLOOKUP("~"&amp;GroupVertices[[#This Row],[Vertex]],Vertices[],MATCH("ID",Vertices[[#Headers],[Vertex]:[Top Word Pairs in Tweet by Salience]],0),FALSE)</f>
        <v>122</v>
      </c>
    </row>
    <row r="24" spans="1:3" ht="15">
      <c r="A24" s="77" t="s">
        <v>2349</v>
      </c>
      <c r="B24" s="80" t="s">
        <v>299</v>
      </c>
      <c r="C24" s="76">
        <f>VLOOKUP("~"&amp;GroupVertices[[#This Row],[Vertex]],Vertices[],MATCH("ID",Vertices[[#Headers],[Vertex]:[Top Word Pairs in Tweet by Salience]],0),FALSE)</f>
        <v>150</v>
      </c>
    </row>
    <row r="25" spans="1:3" ht="15">
      <c r="A25" s="77" t="s">
        <v>2349</v>
      </c>
      <c r="B25" s="80" t="s">
        <v>300</v>
      </c>
      <c r="C25" s="76">
        <f>VLOOKUP("~"&amp;GroupVertices[[#This Row],[Vertex]],Vertices[],MATCH("ID",Vertices[[#Headers],[Vertex]:[Top Word Pairs in Tweet by Salience]],0),FALSE)</f>
        <v>151</v>
      </c>
    </row>
    <row r="26" spans="1:3" ht="15">
      <c r="A26" s="77" t="s">
        <v>2349</v>
      </c>
      <c r="B26" s="80" t="s">
        <v>301</v>
      </c>
      <c r="C26" s="76">
        <f>VLOOKUP("~"&amp;GroupVertices[[#This Row],[Vertex]],Vertices[],MATCH("ID",Vertices[[#Headers],[Vertex]:[Top Word Pairs in Tweet by Salience]],0),FALSE)</f>
        <v>152</v>
      </c>
    </row>
    <row r="27" spans="1:3" ht="15">
      <c r="A27" s="77" t="s">
        <v>2349</v>
      </c>
      <c r="B27" s="80" t="s">
        <v>302</v>
      </c>
      <c r="C27" s="76">
        <f>VLOOKUP("~"&amp;GroupVertices[[#This Row],[Vertex]],Vertices[],MATCH("ID",Vertices[[#Headers],[Vertex]:[Top Word Pairs in Tweet by Salience]],0),FALSE)</f>
        <v>153</v>
      </c>
    </row>
    <row r="28" spans="1:3" ht="15">
      <c r="A28" s="77" t="s">
        <v>2349</v>
      </c>
      <c r="B28" s="80" t="s">
        <v>309</v>
      </c>
      <c r="C28" s="76">
        <f>VLOOKUP("~"&amp;GroupVertices[[#This Row],[Vertex]],Vertices[],MATCH("ID",Vertices[[#Headers],[Vertex]:[Top Word Pairs in Tweet by Salience]],0),FALSE)</f>
        <v>163</v>
      </c>
    </row>
    <row r="29" spans="1:3" ht="15">
      <c r="A29" s="77" t="s">
        <v>2349</v>
      </c>
      <c r="B29" s="80" t="s">
        <v>310</v>
      </c>
      <c r="C29" s="76">
        <f>VLOOKUP("~"&amp;GroupVertices[[#This Row],[Vertex]],Vertices[],MATCH("ID",Vertices[[#Headers],[Vertex]:[Top Word Pairs in Tweet by Salience]],0),FALSE)</f>
        <v>164</v>
      </c>
    </row>
    <row r="30" spans="1:3" ht="15">
      <c r="A30" s="77" t="s">
        <v>2349</v>
      </c>
      <c r="B30" s="80" t="s">
        <v>326</v>
      </c>
      <c r="C30" s="76">
        <f>VLOOKUP("~"&amp;GroupVertices[[#This Row],[Vertex]],Vertices[],MATCH("ID",Vertices[[#Headers],[Vertex]:[Top Word Pairs in Tweet by Salience]],0),FALSE)</f>
        <v>198</v>
      </c>
    </row>
    <row r="31" spans="1:3" ht="15">
      <c r="A31" s="77" t="s">
        <v>2349</v>
      </c>
      <c r="B31" s="80" t="s">
        <v>327</v>
      </c>
      <c r="C31" s="76">
        <f>VLOOKUP("~"&amp;GroupVertices[[#This Row],[Vertex]],Vertices[],MATCH("ID",Vertices[[#Headers],[Vertex]:[Top Word Pairs in Tweet by Salience]],0),FALSE)</f>
        <v>199</v>
      </c>
    </row>
    <row r="32" spans="1:3" ht="15">
      <c r="A32" s="77" t="s">
        <v>2349</v>
      </c>
      <c r="B32" s="80" t="s">
        <v>333</v>
      </c>
      <c r="C32" s="76">
        <f>VLOOKUP("~"&amp;GroupVertices[[#This Row],[Vertex]],Vertices[],MATCH("ID",Vertices[[#Headers],[Vertex]:[Top Word Pairs in Tweet by Salience]],0),FALSE)</f>
        <v>208</v>
      </c>
    </row>
    <row r="33" spans="1:3" ht="15">
      <c r="A33" s="77" t="s">
        <v>2349</v>
      </c>
      <c r="B33" s="80" t="s">
        <v>334</v>
      </c>
      <c r="C33" s="76">
        <f>VLOOKUP("~"&amp;GroupVertices[[#This Row],[Vertex]],Vertices[],MATCH("ID",Vertices[[#Headers],[Vertex]:[Top Word Pairs in Tweet by Salience]],0),FALSE)</f>
        <v>209</v>
      </c>
    </row>
    <row r="34" spans="1:3" ht="15">
      <c r="A34" s="77" t="s">
        <v>2349</v>
      </c>
      <c r="B34" s="80" t="s">
        <v>632</v>
      </c>
      <c r="C34" s="76">
        <f>VLOOKUP("~"&amp;GroupVertices[[#This Row],[Vertex]],Vertices[],MATCH("ID",Vertices[[#Headers],[Vertex]:[Top Word Pairs in Tweet by Salience]],0),FALSE)</f>
        <v>217</v>
      </c>
    </row>
    <row r="35" spans="1:3" ht="15">
      <c r="A35" s="77" t="s">
        <v>2349</v>
      </c>
      <c r="B35" s="80" t="s">
        <v>1288</v>
      </c>
      <c r="C35" s="76">
        <f>VLOOKUP("~"&amp;GroupVertices[[#This Row],[Vertex]],Vertices[],MATCH("ID",Vertices[[#Headers],[Vertex]:[Top Word Pairs in Tweet by Salience]],0),FALSE)</f>
        <v>218</v>
      </c>
    </row>
    <row r="36" spans="1:3" ht="15">
      <c r="A36" s="77" t="s">
        <v>2349</v>
      </c>
      <c r="B36" s="80" t="s">
        <v>1289</v>
      </c>
      <c r="C36" s="76">
        <f>VLOOKUP("~"&amp;GroupVertices[[#This Row],[Vertex]],Vertices[],MATCH("ID",Vertices[[#Headers],[Vertex]:[Top Word Pairs in Tweet by Salience]],0),FALSE)</f>
        <v>219</v>
      </c>
    </row>
    <row r="37" spans="1:3" ht="15">
      <c r="A37" s="77" t="s">
        <v>2349</v>
      </c>
      <c r="B37" s="80" t="s">
        <v>1290</v>
      </c>
      <c r="C37" s="76">
        <f>VLOOKUP("~"&amp;GroupVertices[[#This Row],[Vertex]],Vertices[],MATCH("ID",Vertices[[#Headers],[Vertex]:[Top Word Pairs in Tweet by Salience]],0),FALSE)</f>
        <v>220</v>
      </c>
    </row>
    <row r="38" spans="1:3" ht="15">
      <c r="A38" s="77" t="s">
        <v>2350</v>
      </c>
      <c r="B38" s="80" t="s">
        <v>337</v>
      </c>
      <c r="C38" s="76">
        <f>VLOOKUP("~"&amp;GroupVertices[[#This Row],[Vertex]],Vertices[],MATCH("ID",Vertices[[#Headers],[Vertex]:[Top Word Pairs in Tweet by Salience]],0),FALSE)</f>
        <v>212</v>
      </c>
    </row>
    <row r="39" spans="1:3" ht="15">
      <c r="A39" s="77" t="s">
        <v>2350</v>
      </c>
      <c r="B39" s="80" t="s">
        <v>350</v>
      </c>
      <c r="C39" s="76">
        <f>VLOOKUP("~"&amp;GroupVertices[[#This Row],[Vertex]],Vertices[],MATCH("ID",Vertices[[#Headers],[Vertex]:[Top Word Pairs in Tweet by Salience]],0),FALSE)</f>
        <v>27</v>
      </c>
    </row>
    <row r="40" spans="1:3" ht="15">
      <c r="A40" s="77" t="s">
        <v>2350</v>
      </c>
      <c r="B40" s="80" t="s">
        <v>316</v>
      </c>
      <c r="C40" s="76">
        <f>VLOOKUP("~"&amp;GroupVertices[[#This Row],[Vertex]],Vertices[],MATCH("ID",Vertices[[#Headers],[Vertex]:[Top Word Pairs in Tweet by Salience]],0),FALSE)</f>
        <v>177</v>
      </c>
    </row>
    <row r="41" spans="1:3" ht="15">
      <c r="A41" s="77" t="s">
        <v>2350</v>
      </c>
      <c r="B41" s="80" t="s">
        <v>416</v>
      </c>
      <c r="C41" s="76">
        <f>VLOOKUP("~"&amp;GroupVertices[[#This Row],[Vertex]],Vertices[],MATCH("ID",Vertices[[#Headers],[Vertex]:[Top Word Pairs in Tweet by Salience]],0),FALSE)</f>
        <v>178</v>
      </c>
    </row>
    <row r="42" spans="1:3" ht="15">
      <c r="A42" s="77" t="s">
        <v>2350</v>
      </c>
      <c r="B42" s="80" t="s">
        <v>376</v>
      </c>
      <c r="C42" s="76">
        <f>VLOOKUP("~"&amp;GroupVertices[[#This Row],[Vertex]],Vertices[],MATCH("ID",Vertices[[#Headers],[Vertex]:[Top Word Pairs in Tweet by Salience]],0),FALSE)</f>
        <v>90</v>
      </c>
    </row>
    <row r="43" spans="1:3" ht="15">
      <c r="A43" s="77" t="s">
        <v>2350</v>
      </c>
      <c r="B43" s="80" t="s">
        <v>265</v>
      </c>
      <c r="C43" s="76">
        <f>VLOOKUP("~"&amp;GroupVertices[[#This Row],[Vertex]],Vertices[],MATCH("ID",Vertices[[#Headers],[Vertex]:[Top Word Pairs in Tweet by Salience]],0),FALSE)</f>
        <v>89</v>
      </c>
    </row>
    <row r="44" spans="1:3" ht="15">
      <c r="A44" s="77" t="s">
        <v>2350</v>
      </c>
      <c r="B44" s="80" t="s">
        <v>298</v>
      </c>
      <c r="C44" s="76">
        <f>VLOOKUP("~"&amp;GroupVertices[[#This Row],[Vertex]],Vertices[],MATCH("ID",Vertices[[#Headers],[Vertex]:[Top Word Pairs in Tweet by Salience]],0),FALSE)</f>
        <v>57</v>
      </c>
    </row>
    <row r="45" spans="1:3" ht="15">
      <c r="A45" s="77" t="s">
        <v>2350</v>
      </c>
      <c r="B45" s="80" t="s">
        <v>263</v>
      </c>
      <c r="C45" s="76">
        <f>VLOOKUP("~"&amp;GroupVertices[[#This Row],[Vertex]],Vertices[],MATCH("ID",Vertices[[#Headers],[Vertex]:[Top Word Pairs in Tweet by Salience]],0),FALSE)</f>
        <v>87</v>
      </c>
    </row>
    <row r="46" spans="1:3" ht="15">
      <c r="A46" s="77" t="s">
        <v>2350</v>
      </c>
      <c r="B46" s="80" t="s">
        <v>246</v>
      </c>
      <c r="C46" s="76">
        <f>VLOOKUP("~"&amp;GroupVertices[[#This Row],[Vertex]],Vertices[],MATCH("ID",Vertices[[#Headers],[Vertex]:[Top Word Pairs in Tweet by Salience]],0),FALSE)</f>
        <v>55</v>
      </c>
    </row>
    <row r="47" spans="1:3" ht="15">
      <c r="A47" s="77" t="s">
        <v>2350</v>
      </c>
      <c r="B47" s="80" t="s">
        <v>363</v>
      </c>
      <c r="C47" s="76">
        <f>VLOOKUP("~"&amp;GroupVertices[[#This Row],[Vertex]],Vertices[],MATCH("ID",Vertices[[#Headers],[Vertex]:[Top Word Pairs in Tweet by Salience]],0),FALSE)</f>
        <v>56</v>
      </c>
    </row>
    <row r="48" spans="1:3" ht="15">
      <c r="A48" s="77" t="s">
        <v>2350</v>
      </c>
      <c r="B48" s="80" t="s">
        <v>304</v>
      </c>
      <c r="C48" s="76">
        <f>VLOOKUP("~"&amp;GroupVertices[[#This Row],[Vertex]],Vertices[],MATCH("ID",Vertices[[#Headers],[Vertex]:[Top Word Pairs in Tweet by Salience]],0),FALSE)</f>
        <v>16</v>
      </c>
    </row>
    <row r="49" spans="1:3" ht="15">
      <c r="A49" s="77" t="s">
        <v>2350</v>
      </c>
      <c r="B49" s="80" t="s">
        <v>232</v>
      </c>
      <c r="C49" s="76">
        <f>VLOOKUP("~"&amp;GroupVertices[[#This Row],[Vertex]],Vertices[],MATCH("ID",Vertices[[#Headers],[Vertex]:[Top Word Pairs in Tweet by Salience]],0),FALSE)</f>
        <v>26</v>
      </c>
    </row>
    <row r="50" spans="1:3" ht="15">
      <c r="A50" s="77" t="s">
        <v>2350</v>
      </c>
      <c r="B50" s="80" t="s">
        <v>226</v>
      </c>
      <c r="C50" s="76">
        <f>VLOOKUP("~"&amp;GroupVertices[[#This Row],[Vertex]],Vertices[],MATCH("ID",Vertices[[#Headers],[Vertex]:[Top Word Pairs in Tweet by Salience]],0),FALSE)</f>
        <v>15</v>
      </c>
    </row>
    <row r="51" spans="1:3" ht="15">
      <c r="A51" s="77" t="s">
        <v>2351</v>
      </c>
      <c r="B51" s="80" t="s">
        <v>319</v>
      </c>
      <c r="C51" s="76">
        <f>VLOOKUP("~"&amp;GroupVertices[[#This Row],[Vertex]],Vertices[],MATCH("ID",Vertices[[#Headers],[Vertex]:[Top Word Pairs in Tweet by Salience]],0),FALSE)</f>
        <v>182</v>
      </c>
    </row>
    <row r="52" spans="1:3" ht="15">
      <c r="A52" s="77" t="s">
        <v>2351</v>
      </c>
      <c r="B52" s="80" t="s">
        <v>426</v>
      </c>
      <c r="C52" s="76">
        <f>VLOOKUP("~"&amp;GroupVertices[[#This Row],[Vertex]],Vertices[],MATCH("ID",Vertices[[#Headers],[Vertex]:[Top Word Pairs in Tweet by Salience]],0),FALSE)</f>
        <v>190</v>
      </c>
    </row>
    <row r="53" spans="1:3" ht="15">
      <c r="A53" s="77" t="s">
        <v>2351</v>
      </c>
      <c r="B53" s="80" t="s">
        <v>425</v>
      </c>
      <c r="C53" s="76">
        <f>VLOOKUP("~"&amp;GroupVertices[[#This Row],[Vertex]],Vertices[],MATCH("ID",Vertices[[#Headers],[Vertex]:[Top Word Pairs in Tweet by Salience]],0),FALSE)</f>
        <v>189</v>
      </c>
    </row>
    <row r="54" spans="1:3" ht="15">
      <c r="A54" s="77" t="s">
        <v>2351</v>
      </c>
      <c r="B54" s="80" t="s">
        <v>424</v>
      </c>
      <c r="C54" s="76">
        <f>VLOOKUP("~"&amp;GroupVertices[[#This Row],[Vertex]],Vertices[],MATCH("ID",Vertices[[#Headers],[Vertex]:[Top Word Pairs in Tweet by Salience]],0),FALSE)</f>
        <v>188</v>
      </c>
    </row>
    <row r="55" spans="1:3" ht="15">
      <c r="A55" s="77" t="s">
        <v>2351</v>
      </c>
      <c r="B55" s="80" t="s">
        <v>423</v>
      </c>
      <c r="C55" s="76">
        <f>VLOOKUP("~"&amp;GroupVertices[[#This Row],[Vertex]],Vertices[],MATCH("ID",Vertices[[#Headers],[Vertex]:[Top Word Pairs in Tweet by Salience]],0),FALSE)</f>
        <v>187</v>
      </c>
    </row>
    <row r="56" spans="1:3" ht="15">
      <c r="A56" s="77" t="s">
        <v>2351</v>
      </c>
      <c r="B56" s="80" t="s">
        <v>422</v>
      </c>
      <c r="C56" s="76">
        <f>VLOOKUP("~"&amp;GroupVertices[[#This Row],[Vertex]],Vertices[],MATCH("ID",Vertices[[#Headers],[Vertex]:[Top Word Pairs in Tweet by Salience]],0),FALSE)</f>
        <v>186</v>
      </c>
    </row>
    <row r="57" spans="1:3" ht="15">
      <c r="A57" s="77" t="s">
        <v>2351</v>
      </c>
      <c r="B57" s="80" t="s">
        <v>421</v>
      </c>
      <c r="C57" s="76">
        <f>VLOOKUP("~"&amp;GroupVertices[[#This Row],[Vertex]],Vertices[],MATCH("ID",Vertices[[#Headers],[Vertex]:[Top Word Pairs in Tweet by Salience]],0),FALSE)</f>
        <v>185</v>
      </c>
    </row>
    <row r="58" spans="1:3" ht="15">
      <c r="A58" s="77" t="s">
        <v>2351</v>
      </c>
      <c r="B58" s="80" t="s">
        <v>420</v>
      </c>
      <c r="C58" s="76">
        <f>VLOOKUP("~"&amp;GroupVertices[[#This Row],[Vertex]],Vertices[],MATCH("ID",Vertices[[#Headers],[Vertex]:[Top Word Pairs in Tweet by Salience]],0),FALSE)</f>
        <v>184</v>
      </c>
    </row>
    <row r="59" spans="1:3" ht="15">
      <c r="A59" s="77" t="s">
        <v>2351</v>
      </c>
      <c r="B59" s="80" t="s">
        <v>419</v>
      </c>
      <c r="C59" s="76">
        <f>VLOOKUP("~"&amp;GroupVertices[[#This Row],[Vertex]],Vertices[],MATCH("ID",Vertices[[#Headers],[Vertex]:[Top Word Pairs in Tweet by Salience]],0),FALSE)</f>
        <v>183</v>
      </c>
    </row>
    <row r="60" spans="1:3" ht="15">
      <c r="A60" s="77" t="s">
        <v>2351</v>
      </c>
      <c r="B60" s="80" t="s">
        <v>268</v>
      </c>
      <c r="C60" s="76">
        <f>VLOOKUP("~"&amp;GroupVertices[[#This Row],[Vertex]],Vertices[],MATCH("ID",Vertices[[#Headers],[Vertex]:[Top Word Pairs in Tweet by Salience]],0),FALSE)</f>
        <v>82</v>
      </c>
    </row>
    <row r="61" spans="1:3" ht="15">
      <c r="A61" s="77" t="s">
        <v>2351</v>
      </c>
      <c r="B61" s="80" t="s">
        <v>379</v>
      </c>
      <c r="C61" s="76">
        <f>VLOOKUP("~"&amp;GroupVertices[[#This Row],[Vertex]],Vertices[],MATCH("ID",Vertices[[#Headers],[Vertex]:[Top Word Pairs in Tweet by Salience]],0),FALSE)</f>
        <v>95</v>
      </c>
    </row>
    <row r="62" spans="1:3" ht="15">
      <c r="A62" s="77" t="s">
        <v>2351</v>
      </c>
      <c r="B62" s="80" t="s">
        <v>259</v>
      </c>
      <c r="C62" s="76">
        <f>VLOOKUP("~"&amp;GroupVertices[[#This Row],[Vertex]],Vertices[],MATCH("ID",Vertices[[#Headers],[Vertex]:[Top Word Pairs in Tweet by Salience]],0),FALSE)</f>
        <v>81</v>
      </c>
    </row>
    <row r="63" spans="1:3" ht="15">
      <c r="A63" s="77" t="s">
        <v>2352</v>
      </c>
      <c r="B63" s="80" t="s">
        <v>288</v>
      </c>
      <c r="C63" s="76">
        <f>VLOOKUP("~"&amp;GroupVertices[[#This Row],[Vertex]],Vertices[],MATCH("ID",Vertices[[#Headers],[Vertex]:[Top Word Pairs in Tweet by Salience]],0),FALSE)</f>
        <v>127</v>
      </c>
    </row>
    <row r="64" spans="1:3" ht="15">
      <c r="A64" s="77" t="s">
        <v>2352</v>
      </c>
      <c r="B64" s="80" t="s">
        <v>397</v>
      </c>
      <c r="C64" s="76">
        <f>VLOOKUP("~"&amp;GroupVertices[[#This Row],[Vertex]],Vertices[],MATCH("ID",Vertices[[#Headers],[Vertex]:[Top Word Pairs in Tweet by Salience]],0),FALSE)</f>
        <v>133</v>
      </c>
    </row>
    <row r="65" spans="1:3" ht="15">
      <c r="A65" s="77" t="s">
        <v>2352</v>
      </c>
      <c r="B65" s="80" t="s">
        <v>396</v>
      </c>
      <c r="C65" s="76">
        <f>VLOOKUP("~"&amp;GroupVertices[[#This Row],[Vertex]],Vertices[],MATCH("ID",Vertices[[#Headers],[Vertex]:[Top Word Pairs in Tweet by Salience]],0),FALSE)</f>
        <v>132</v>
      </c>
    </row>
    <row r="66" spans="1:3" ht="15">
      <c r="A66" s="77" t="s">
        <v>2352</v>
      </c>
      <c r="B66" s="80" t="s">
        <v>395</v>
      </c>
      <c r="C66" s="76">
        <f>VLOOKUP("~"&amp;GroupVertices[[#This Row],[Vertex]],Vertices[],MATCH("ID",Vertices[[#Headers],[Vertex]:[Top Word Pairs in Tweet by Salience]],0),FALSE)</f>
        <v>131</v>
      </c>
    </row>
    <row r="67" spans="1:3" ht="15">
      <c r="A67" s="77" t="s">
        <v>2352</v>
      </c>
      <c r="B67" s="80" t="s">
        <v>394</v>
      </c>
      <c r="C67" s="76">
        <f>VLOOKUP("~"&amp;GroupVertices[[#This Row],[Vertex]],Vertices[],MATCH("ID",Vertices[[#Headers],[Vertex]:[Top Word Pairs in Tweet by Salience]],0),FALSE)</f>
        <v>130</v>
      </c>
    </row>
    <row r="68" spans="1:3" ht="15">
      <c r="A68" s="77" t="s">
        <v>2352</v>
      </c>
      <c r="B68" s="80" t="s">
        <v>393</v>
      </c>
      <c r="C68" s="76">
        <f>VLOOKUP("~"&amp;GroupVertices[[#This Row],[Vertex]],Vertices[],MATCH("ID",Vertices[[#Headers],[Vertex]:[Top Word Pairs in Tweet by Salience]],0),FALSE)</f>
        <v>129</v>
      </c>
    </row>
    <row r="69" spans="1:3" ht="15">
      <c r="A69" s="77" t="s">
        <v>2352</v>
      </c>
      <c r="B69" s="80" t="s">
        <v>392</v>
      </c>
      <c r="C69" s="76">
        <f>VLOOKUP("~"&amp;GroupVertices[[#This Row],[Vertex]],Vertices[],MATCH("ID",Vertices[[#Headers],[Vertex]:[Top Word Pairs in Tweet by Salience]],0),FALSE)</f>
        <v>128</v>
      </c>
    </row>
    <row r="70" spans="1:3" ht="15">
      <c r="A70" s="77" t="s">
        <v>2353</v>
      </c>
      <c r="B70" s="80" t="s">
        <v>291</v>
      </c>
      <c r="C70" s="76">
        <f>VLOOKUP("~"&amp;GroupVertices[[#This Row],[Vertex]],Vertices[],MATCH("ID",Vertices[[#Headers],[Vertex]:[Top Word Pairs in Tweet by Salience]],0),FALSE)</f>
        <v>136</v>
      </c>
    </row>
    <row r="71" spans="1:3" ht="15">
      <c r="A71" s="77" t="s">
        <v>2353</v>
      </c>
      <c r="B71" s="80" t="s">
        <v>402</v>
      </c>
      <c r="C71" s="76">
        <f>VLOOKUP("~"&amp;GroupVertices[[#This Row],[Vertex]],Vertices[],MATCH("ID",Vertices[[#Headers],[Vertex]:[Top Word Pairs in Tweet by Salience]],0),FALSE)</f>
        <v>141</v>
      </c>
    </row>
    <row r="72" spans="1:3" ht="15">
      <c r="A72" s="77" t="s">
        <v>2353</v>
      </c>
      <c r="B72" s="80" t="s">
        <v>401</v>
      </c>
      <c r="C72" s="76">
        <f>VLOOKUP("~"&amp;GroupVertices[[#This Row],[Vertex]],Vertices[],MATCH("ID",Vertices[[#Headers],[Vertex]:[Top Word Pairs in Tweet by Salience]],0),FALSE)</f>
        <v>140</v>
      </c>
    </row>
    <row r="73" spans="1:3" ht="15">
      <c r="A73" s="77" t="s">
        <v>2353</v>
      </c>
      <c r="B73" s="80" t="s">
        <v>400</v>
      </c>
      <c r="C73" s="76">
        <f>VLOOKUP("~"&amp;GroupVertices[[#This Row],[Vertex]],Vertices[],MATCH("ID",Vertices[[#Headers],[Vertex]:[Top Word Pairs in Tweet by Salience]],0),FALSE)</f>
        <v>139</v>
      </c>
    </row>
    <row r="74" spans="1:3" ht="15">
      <c r="A74" s="77" t="s">
        <v>2353</v>
      </c>
      <c r="B74" s="80" t="s">
        <v>399</v>
      </c>
      <c r="C74" s="76">
        <f>VLOOKUP("~"&amp;GroupVertices[[#This Row],[Vertex]],Vertices[],MATCH("ID",Vertices[[#Headers],[Vertex]:[Top Word Pairs in Tweet by Salience]],0),FALSE)</f>
        <v>138</v>
      </c>
    </row>
    <row r="75" spans="1:3" ht="15">
      <c r="A75" s="77" t="s">
        <v>2353</v>
      </c>
      <c r="B75" s="80" t="s">
        <v>398</v>
      </c>
      <c r="C75" s="76">
        <f>VLOOKUP("~"&amp;GroupVertices[[#This Row],[Vertex]],Vertices[],MATCH("ID",Vertices[[#Headers],[Vertex]:[Top Word Pairs in Tweet by Salience]],0),FALSE)</f>
        <v>137</v>
      </c>
    </row>
    <row r="76" spans="1:3" ht="15">
      <c r="A76" s="77" t="s">
        <v>2354</v>
      </c>
      <c r="B76" s="80" t="s">
        <v>225</v>
      </c>
      <c r="C76" s="76">
        <f>VLOOKUP("~"&amp;GroupVertices[[#This Row],[Vertex]],Vertices[],MATCH("ID",Vertices[[#Headers],[Vertex]:[Top Word Pairs in Tweet by Salience]],0),FALSE)</f>
        <v>9</v>
      </c>
    </row>
    <row r="77" spans="1:3" ht="15">
      <c r="A77" s="77" t="s">
        <v>2354</v>
      </c>
      <c r="B77" s="80" t="s">
        <v>346</v>
      </c>
      <c r="C77" s="76">
        <f>VLOOKUP("~"&amp;GroupVertices[[#This Row],[Vertex]],Vertices[],MATCH("ID",Vertices[[#Headers],[Vertex]:[Top Word Pairs in Tweet by Salience]],0),FALSE)</f>
        <v>14</v>
      </c>
    </row>
    <row r="78" spans="1:3" ht="15">
      <c r="A78" s="77" t="s">
        <v>2354</v>
      </c>
      <c r="B78" s="80" t="s">
        <v>345</v>
      </c>
      <c r="C78" s="76">
        <f>VLOOKUP("~"&amp;GroupVertices[[#This Row],[Vertex]],Vertices[],MATCH("ID",Vertices[[#Headers],[Vertex]:[Top Word Pairs in Tweet by Salience]],0),FALSE)</f>
        <v>13</v>
      </c>
    </row>
    <row r="79" spans="1:3" ht="15">
      <c r="A79" s="77" t="s">
        <v>2354</v>
      </c>
      <c r="B79" s="80" t="s">
        <v>344</v>
      </c>
      <c r="C79" s="76">
        <f>VLOOKUP("~"&amp;GroupVertices[[#This Row],[Vertex]],Vertices[],MATCH("ID",Vertices[[#Headers],[Vertex]:[Top Word Pairs in Tweet by Salience]],0),FALSE)</f>
        <v>12</v>
      </c>
    </row>
    <row r="80" spans="1:3" ht="15">
      <c r="A80" s="77" t="s">
        <v>2354</v>
      </c>
      <c r="B80" s="80" t="s">
        <v>343</v>
      </c>
      <c r="C80" s="76">
        <f>VLOOKUP("~"&amp;GroupVertices[[#This Row],[Vertex]],Vertices[],MATCH("ID",Vertices[[#Headers],[Vertex]:[Top Word Pairs in Tweet by Salience]],0),FALSE)</f>
        <v>11</v>
      </c>
    </row>
    <row r="81" spans="1:3" ht="15">
      <c r="A81" s="77" t="s">
        <v>2354</v>
      </c>
      <c r="B81" s="80" t="s">
        <v>342</v>
      </c>
      <c r="C81" s="76">
        <f>VLOOKUP("~"&amp;GroupVertices[[#This Row],[Vertex]],Vertices[],MATCH("ID",Vertices[[#Headers],[Vertex]:[Top Word Pairs in Tweet by Salience]],0),FALSE)</f>
        <v>10</v>
      </c>
    </row>
    <row r="82" spans="1:3" ht="15">
      <c r="A82" s="77" t="s">
        <v>2355</v>
      </c>
      <c r="B82" s="80" t="s">
        <v>244</v>
      </c>
      <c r="C82" s="76">
        <f>VLOOKUP("~"&amp;GroupVertices[[#This Row],[Vertex]],Vertices[],MATCH("ID",Vertices[[#Headers],[Vertex]:[Top Word Pairs in Tweet by Salience]],0),FALSE)</f>
        <v>48</v>
      </c>
    </row>
    <row r="83" spans="1:3" ht="15">
      <c r="A83" s="77" t="s">
        <v>2355</v>
      </c>
      <c r="B83" s="80" t="s">
        <v>362</v>
      </c>
      <c r="C83" s="76">
        <f>VLOOKUP("~"&amp;GroupVertices[[#This Row],[Vertex]],Vertices[],MATCH("ID",Vertices[[#Headers],[Vertex]:[Top Word Pairs in Tweet by Salience]],0),FALSE)</f>
        <v>52</v>
      </c>
    </row>
    <row r="84" spans="1:3" ht="15">
      <c r="A84" s="77" t="s">
        <v>2355</v>
      </c>
      <c r="B84" s="80" t="s">
        <v>361</v>
      </c>
      <c r="C84" s="76">
        <f>VLOOKUP("~"&amp;GroupVertices[[#This Row],[Vertex]],Vertices[],MATCH("ID",Vertices[[#Headers],[Vertex]:[Top Word Pairs in Tweet by Salience]],0),FALSE)</f>
        <v>51</v>
      </c>
    </row>
    <row r="85" spans="1:3" ht="15">
      <c r="A85" s="77" t="s">
        <v>2355</v>
      </c>
      <c r="B85" s="80" t="s">
        <v>360</v>
      </c>
      <c r="C85" s="76">
        <f>VLOOKUP("~"&amp;GroupVertices[[#This Row],[Vertex]],Vertices[],MATCH("ID",Vertices[[#Headers],[Vertex]:[Top Word Pairs in Tweet by Salience]],0),FALSE)</f>
        <v>50</v>
      </c>
    </row>
    <row r="86" spans="1:3" ht="15">
      <c r="A86" s="77" t="s">
        <v>2355</v>
      </c>
      <c r="B86" s="80" t="s">
        <v>359</v>
      </c>
      <c r="C86" s="76">
        <f>VLOOKUP("~"&amp;GroupVertices[[#This Row],[Vertex]],Vertices[],MATCH("ID",Vertices[[#Headers],[Vertex]:[Top Word Pairs in Tweet by Salience]],0),FALSE)</f>
        <v>49</v>
      </c>
    </row>
    <row r="87" spans="1:3" ht="15">
      <c r="A87" s="77" t="s">
        <v>2356</v>
      </c>
      <c r="B87" s="80" t="s">
        <v>338</v>
      </c>
      <c r="C87" s="76">
        <f>VLOOKUP("~"&amp;GroupVertices[[#This Row],[Vertex]],Vertices[],MATCH("ID",Vertices[[#Headers],[Vertex]:[Top Word Pairs in Tweet by Salience]],0),FALSE)</f>
        <v>213</v>
      </c>
    </row>
    <row r="88" spans="1:3" ht="15">
      <c r="A88" s="77" t="s">
        <v>2356</v>
      </c>
      <c r="B88" s="80" t="s">
        <v>435</v>
      </c>
      <c r="C88" s="76">
        <f>VLOOKUP("~"&amp;GroupVertices[[#This Row],[Vertex]],Vertices[],MATCH("ID",Vertices[[#Headers],[Vertex]:[Top Word Pairs in Tweet by Salience]],0),FALSE)</f>
        <v>216</v>
      </c>
    </row>
    <row r="89" spans="1:3" ht="15">
      <c r="A89" s="77" t="s">
        <v>2356</v>
      </c>
      <c r="B89" s="80" t="s">
        <v>434</v>
      </c>
      <c r="C89" s="76">
        <f>VLOOKUP("~"&amp;GroupVertices[[#This Row],[Vertex]],Vertices[],MATCH("ID",Vertices[[#Headers],[Vertex]:[Top Word Pairs in Tweet by Salience]],0),FALSE)</f>
        <v>215</v>
      </c>
    </row>
    <row r="90" spans="1:3" ht="15">
      <c r="A90" s="77" t="s">
        <v>2356</v>
      </c>
      <c r="B90" s="80" t="s">
        <v>433</v>
      </c>
      <c r="C90" s="76">
        <f>VLOOKUP("~"&amp;GroupVertices[[#This Row],[Vertex]],Vertices[],MATCH("ID",Vertices[[#Headers],[Vertex]:[Top Word Pairs in Tweet by Salience]],0),FALSE)</f>
        <v>214</v>
      </c>
    </row>
    <row r="91" spans="1:3" ht="15">
      <c r="A91" s="77" t="s">
        <v>2357</v>
      </c>
      <c r="B91" s="80" t="s">
        <v>257</v>
      </c>
      <c r="C91" s="76">
        <f>VLOOKUP("~"&amp;GroupVertices[[#This Row],[Vertex]],Vertices[],MATCH("ID",Vertices[[#Headers],[Vertex]:[Top Word Pairs in Tweet by Salience]],0),FALSE)</f>
        <v>76</v>
      </c>
    </row>
    <row r="92" spans="1:3" ht="15">
      <c r="A92" s="77" t="s">
        <v>2357</v>
      </c>
      <c r="B92" s="80" t="s">
        <v>374</v>
      </c>
      <c r="C92" s="76">
        <f>VLOOKUP("~"&amp;GroupVertices[[#This Row],[Vertex]],Vertices[],MATCH("ID",Vertices[[#Headers],[Vertex]:[Top Word Pairs in Tweet by Salience]],0),FALSE)</f>
        <v>79</v>
      </c>
    </row>
    <row r="93" spans="1:3" ht="15">
      <c r="A93" s="77" t="s">
        <v>2357</v>
      </c>
      <c r="B93" s="80" t="s">
        <v>373</v>
      </c>
      <c r="C93" s="76">
        <f>VLOOKUP("~"&amp;GroupVertices[[#This Row],[Vertex]],Vertices[],MATCH("ID",Vertices[[#Headers],[Vertex]:[Top Word Pairs in Tweet by Salience]],0),FALSE)</f>
        <v>78</v>
      </c>
    </row>
    <row r="94" spans="1:3" ht="15">
      <c r="A94" s="77" t="s">
        <v>2357</v>
      </c>
      <c r="B94" s="80" t="s">
        <v>372</v>
      </c>
      <c r="C94" s="76">
        <f>VLOOKUP("~"&amp;GroupVertices[[#This Row],[Vertex]],Vertices[],MATCH("ID",Vertices[[#Headers],[Vertex]:[Top Word Pairs in Tweet by Salience]],0),FALSE)</f>
        <v>77</v>
      </c>
    </row>
    <row r="95" spans="1:3" ht="15">
      <c r="A95" s="77" t="s">
        <v>2358</v>
      </c>
      <c r="B95" s="80" t="s">
        <v>233</v>
      </c>
      <c r="C95" s="76">
        <f>VLOOKUP("~"&amp;GroupVertices[[#This Row],[Vertex]],Vertices[],MATCH("ID",Vertices[[#Headers],[Vertex]:[Top Word Pairs in Tweet by Salience]],0),FALSE)</f>
        <v>28</v>
      </c>
    </row>
    <row r="96" spans="1:3" ht="15">
      <c r="A96" s="77" t="s">
        <v>2358</v>
      </c>
      <c r="B96" s="80" t="s">
        <v>353</v>
      </c>
      <c r="C96" s="76">
        <f>VLOOKUP("~"&amp;GroupVertices[[#This Row],[Vertex]],Vertices[],MATCH("ID",Vertices[[#Headers],[Vertex]:[Top Word Pairs in Tweet by Salience]],0),FALSE)</f>
        <v>31</v>
      </c>
    </row>
    <row r="97" spans="1:3" ht="15">
      <c r="A97" s="77" t="s">
        <v>2358</v>
      </c>
      <c r="B97" s="80" t="s">
        <v>352</v>
      </c>
      <c r="C97" s="76">
        <f>VLOOKUP("~"&amp;GroupVertices[[#This Row],[Vertex]],Vertices[],MATCH("ID",Vertices[[#Headers],[Vertex]:[Top Word Pairs in Tweet by Salience]],0),FALSE)</f>
        <v>30</v>
      </c>
    </row>
    <row r="98" spans="1:3" ht="15">
      <c r="A98" s="77" t="s">
        <v>2358</v>
      </c>
      <c r="B98" s="80" t="s">
        <v>351</v>
      </c>
      <c r="C98" s="76">
        <f>VLOOKUP("~"&amp;GroupVertices[[#This Row],[Vertex]],Vertices[],MATCH("ID",Vertices[[#Headers],[Vertex]:[Top Word Pairs in Tweet by Salience]],0),FALSE)</f>
        <v>29</v>
      </c>
    </row>
    <row r="99" spans="1:3" ht="15">
      <c r="A99" s="77" t="s">
        <v>2359</v>
      </c>
      <c r="B99" s="80" t="s">
        <v>321</v>
      </c>
      <c r="C99" s="76">
        <f>VLOOKUP("~"&amp;GroupVertices[[#This Row],[Vertex]],Vertices[],MATCH("ID",Vertices[[#Headers],[Vertex]:[Top Word Pairs in Tweet by Salience]],0),FALSE)</f>
        <v>191</v>
      </c>
    </row>
    <row r="100" spans="1:3" ht="15">
      <c r="A100" s="77" t="s">
        <v>2359</v>
      </c>
      <c r="B100" s="80" t="s">
        <v>328</v>
      </c>
      <c r="C100" s="76">
        <f>VLOOKUP("~"&amp;GroupVertices[[#This Row],[Vertex]],Vertices[],MATCH("ID",Vertices[[#Headers],[Vertex]:[Top Word Pairs in Tweet by Salience]],0),FALSE)</f>
        <v>24</v>
      </c>
    </row>
    <row r="101" spans="1:3" ht="15">
      <c r="A101" s="77" t="s">
        <v>2359</v>
      </c>
      <c r="B101" s="80" t="s">
        <v>230</v>
      </c>
      <c r="C101" s="76">
        <f>VLOOKUP("~"&amp;GroupVertices[[#This Row],[Vertex]],Vertices[],MATCH("ID",Vertices[[#Headers],[Vertex]:[Top Word Pairs in Tweet by Salience]],0),FALSE)</f>
        <v>23</v>
      </c>
    </row>
    <row r="102" spans="1:3" ht="15">
      <c r="A102" s="77" t="s">
        <v>2360</v>
      </c>
      <c r="B102" s="80" t="s">
        <v>317</v>
      </c>
      <c r="C102" s="76">
        <f>VLOOKUP("~"&amp;GroupVertices[[#This Row],[Vertex]],Vertices[],MATCH("ID",Vertices[[#Headers],[Vertex]:[Top Word Pairs in Tweet by Salience]],0),FALSE)</f>
        <v>54</v>
      </c>
    </row>
    <row r="103" spans="1:3" ht="15">
      <c r="A103" s="77" t="s">
        <v>2360</v>
      </c>
      <c r="B103" s="80" t="s">
        <v>417</v>
      </c>
      <c r="C103" s="76">
        <f>VLOOKUP("~"&amp;GroupVertices[[#This Row],[Vertex]],Vertices[],MATCH("ID",Vertices[[#Headers],[Vertex]:[Top Word Pairs in Tweet by Salience]],0),FALSE)</f>
        <v>179</v>
      </c>
    </row>
    <row r="104" spans="1:3" ht="15">
      <c r="A104" s="77" t="s">
        <v>2360</v>
      </c>
      <c r="B104" s="80" t="s">
        <v>245</v>
      </c>
      <c r="C104" s="76">
        <f>VLOOKUP("~"&amp;GroupVertices[[#This Row],[Vertex]],Vertices[],MATCH("ID",Vertices[[#Headers],[Vertex]:[Top Word Pairs in Tweet by Salience]],0),FALSE)</f>
        <v>53</v>
      </c>
    </row>
    <row r="105" spans="1:3" ht="15">
      <c r="A105" s="77" t="s">
        <v>2361</v>
      </c>
      <c r="B105" s="80" t="s">
        <v>313</v>
      </c>
      <c r="C105" s="76">
        <f>VLOOKUP("~"&amp;GroupVertices[[#This Row],[Vertex]],Vertices[],MATCH("ID",Vertices[[#Headers],[Vertex]:[Top Word Pairs in Tweet by Salience]],0),FALSE)</f>
        <v>170</v>
      </c>
    </row>
    <row r="106" spans="1:3" ht="15">
      <c r="A106" s="77" t="s">
        <v>2361</v>
      </c>
      <c r="B106" s="80" t="s">
        <v>413</v>
      </c>
      <c r="C106" s="76">
        <f>VLOOKUP("~"&amp;GroupVertices[[#This Row],[Vertex]],Vertices[],MATCH("ID",Vertices[[#Headers],[Vertex]:[Top Word Pairs in Tweet by Salience]],0),FALSE)</f>
        <v>172</v>
      </c>
    </row>
    <row r="107" spans="1:3" ht="15">
      <c r="A107" s="77" t="s">
        <v>2361</v>
      </c>
      <c r="B107" s="80" t="s">
        <v>412</v>
      </c>
      <c r="C107" s="76">
        <f>VLOOKUP("~"&amp;GroupVertices[[#This Row],[Vertex]],Vertices[],MATCH("ID",Vertices[[#Headers],[Vertex]:[Top Word Pairs in Tweet by Salience]],0),FALSE)</f>
        <v>171</v>
      </c>
    </row>
    <row r="108" spans="1:3" ht="15">
      <c r="A108" s="77" t="s">
        <v>2362</v>
      </c>
      <c r="B108" s="80" t="s">
        <v>311</v>
      </c>
      <c r="C108" s="76">
        <f>VLOOKUP("~"&amp;GroupVertices[[#This Row],[Vertex]],Vertices[],MATCH("ID",Vertices[[#Headers],[Vertex]:[Top Word Pairs in Tweet by Salience]],0),FALSE)</f>
        <v>165</v>
      </c>
    </row>
    <row r="109" spans="1:3" ht="15">
      <c r="A109" s="77" t="s">
        <v>2362</v>
      </c>
      <c r="B109" s="80" t="s">
        <v>410</v>
      </c>
      <c r="C109" s="76">
        <f>VLOOKUP("~"&amp;GroupVertices[[#This Row],[Vertex]],Vertices[],MATCH("ID",Vertices[[#Headers],[Vertex]:[Top Word Pairs in Tweet by Salience]],0),FALSE)</f>
        <v>167</v>
      </c>
    </row>
    <row r="110" spans="1:3" ht="15">
      <c r="A110" s="77" t="s">
        <v>2362</v>
      </c>
      <c r="B110" s="80" t="s">
        <v>409</v>
      </c>
      <c r="C110" s="76">
        <f>VLOOKUP("~"&amp;GroupVertices[[#This Row],[Vertex]],Vertices[],MATCH("ID",Vertices[[#Headers],[Vertex]:[Top Word Pairs in Tweet by Salience]],0),FALSE)</f>
        <v>166</v>
      </c>
    </row>
    <row r="111" spans="1:3" ht="15">
      <c r="A111" s="77" t="s">
        <v>2363</v>
      </c>
      <c r="B111" s="80" t="s">
        <v>306</v>
      </c>
      <c r="C111" s="76">
        <f>VLOOKUP("~"&amp;GroupVertices[[#This Row],[Vertex]],Vertices[],MATCH("ID",Vertices[[#Headers],[Vertex]:[Top Word Pairs in Tweet by Salience]],0),FALSE)</f>
        <v>156</v>
      </c>
    </row>
    <row r="112" spans="1:3" ht="15">
      <c r="A112" s="77" t="s">
        <v>2363</v>
      </c>
      <c r="B112" s="80" t="s">
        <v>407</v>
      </c>
      <c r="C112" s="76">
        <f>VLOOKUP("~"&amp;GroupVertices[[#This Row],[Vertex]],Vertices[],MATCH("ID",Vertices[[#Headers],[Vertex]:[Top Word Pairs in Tweet by Salience]],0),FALSE)</f>
        <v>158</v>
      </c>
    </row>
    <row r="113" spans="1:3" ht="15">
      <c r="A113" s="77" t="s">
        <v>2363</v>
      </c>
      <c r="B113" s="80" t="s">
        <v>406</v>
      </c>
      <c r="C113" s="76">
        <f>VLOOKUP("~"&amp;GroupVertices[[#This Row],[Vertex]],Vertices[],MATCH("ID",Vertices[[#Headers],[Vertex]:[Top Word Pairs in Tweet by Salience]],0),FALSE)</f>
        <v>157</v>
      </c>
    </row>
    <row r="114" spans="1:3" ht="15">
      <c r="A114" s="77" t="s">
        <v>2364</v>
      </c>
      <c r="B114" s="80" t="s">
        <v>283</v>
      </c>
      <c r="C114" s="76">
        <f>VLOOKUP("~"&amp;GroupVertices[[#This Row],[Vertex]],Vertices[],MATCH("ID",Vertices[[#Headers],[Vertex]:[Top Word Pairs in Tweet by Salience]],0),FALSE)</f>
        <v>119</v>
      </c>
    </row>
    <row r="115" spans="1:3" ht="15">
      <c r="A115" s="77" t="s">
        <v>2364</v>
      </c>
      <c r="B115" s="80" t="s">
        <v>390</v>
      </c>
      <c r="C115" s="76">
        <f>VLOOKUP("~"&amp;GroupVertices[[#This Row],[Vertex]],Vertices[],MATCH("ID",Vertices[[#Headers],[Vertex]:[Top Word Pairs in Tweet by Salience]],0),FALSE)</f>
        <v>121</v>
      </c>
    </row>
    <row r="116" spans="1:3" ht="15">
      <c r="A116" s="77" t="s">
        <v>2364</v>
      </c>
      <c r="B116" s="80" t="s">
        <v>389</v>
      </c>
      <c r="C116" s="76">
        <f>VLOOKUP("~"&amp;GroupVertices[[#This Row],[Vertex]],Vertices[],MATCH("ID",Vertices[[#Headers],[Vertex]:[Top Word Pairs in Tweet by Salience]],0),FALSE)</f>
        <v>120</v>
      </c>
    </row>
    <row r="117" spans="1:3" ht="15">
      <c r="A117" s="77" t="s">
        <v>2365</v>
      </c>
      <c r="B117" s="80" t="s">
        <v>270</v>
      </c>
      <c r="C117" s="76">
        <f>VLOOKUP("~"&amp;GroupVertices[[#This Row],[Vertex]],Vertices[],MATCH("ID",Vertices[[#Headers],[Vertex]:[Top Word Pairs in Tweet by Salience]],0),FALSE)</f>
        <v>97</v>
      </c>
    </row>
    <row r="118" spans="1:3" ht="15">
      <c r="A118" s="77" t="s">
        <v>2365</v>
      </c>
      <c r="B118" s="80" t="s">
        <v>381</v>
      </c>
      <c r="C118" s="76">
        <f>VLOOKUP("~"&amp;GroupVertices[[#This Row],[Vertex]],Vertices[],MATCH("ID",Vertices[[#Headers],[Vertex]:[Top Word Pairs in Tweet by Salience]],0),FALSE)</f>
        <v>99</v>
      </c>
    </row>
    <row r="119" spans="1:3" ht="15">
      <c r="A119" s="77" t="s">
        <v>2365</v>
      </c>
      <c r="B119" s="80" t="s">
        <v>380</v>
      </c>
      <c r="C119" s="76">
        <f>VLOOKUP("~"&amp;GroupVertices[[#This Row],[Vertex]],Vertices[],MATCH("ID",Vertices[[#Headers],[Vertex]:[Top Word Pairs in Tweet by Salience]],0),FALSE)</f>
        <v>98</v>
      </c>
    </row>
    <row r="120" spans="1:3" ht="15">
      <c r="A120" s="77" t="s">
        <v>2366</v>
      </c>
      <c r="B120" s="80" t="s">
        <v>254</v>
      </c>
      <c r="C120" s="76">
        <f>VLOOKUP("~"&amp;GroupVertices[[#This Row],[Vertex]],Vertices[],MATCH("ID",Vertices[[#Headers],[Vertex]:[Top Word Pairs in Tweet by Salience]],0),FALSE)</f>
        <v>71</v>
      </c>
    </row>
    <row r="121" spans="1:3" ht="15">
      <c r="A121" s="77" t="s">
        <v>2366</v>
      </c>
      <c r="B121" s="80" t="s">
        <v>371</v>
      </c>
      <c r="C121" s="76">
        <f>VLOOKUP("~"&amp;GroupVertices[[#This Row],[Vertex]],Vertices[],MATCH("ID",Vertices[[#Headers],[Vertex]:[Top Word Pairs in Tweet by Salience]],0),FALSE)</f>
        <v>73</v>
      </c>
    </row>
    <row r="122" spans="1:3" ht="15">
      <c r="A122" s="77" t="s">
        <v>2366</v>
      </c>
      <c r="B122" s="80" t="s">
        <v>370</v>
      </c>
      <c r="C122" s="76">
        <f>VLOOKUP("~"&amp;GroupVertices[[#This Row],[Vertex]],Vertices[],MATCH("ID",Vertices[[#Headers],[Vertex]:[Top Word Pairs in Tweet by Salience]],0),FALSE)</f>
        <v>72</v>
      </c>
    </row>
    <row r="123" spans="1:3" ht="15">
      <c r="A123" s="77" t="s">
        <v>2367</v>
      </c>
      <c r="B123" s="80" t="s">
        <v>251</v>
      </c>
      <c r="C123" s="76">
        <f>VLOOKUP("~"&amp;GroupVertices[[#This Row],[Vertex]],Vertices[],MATCH("ID",Vertices[[#Headers],[Vertex]:[Top Word Pairs in Tweet by Salience]],0),FALSE)</f>
        <v>65</v>
      </c>
    </row>
    <row r="124" spans="1:3" ht="15">
      <c r="A124" s="77" t="s">
        <v>2367</v>
      </c>
      <c r="B124" s="80" t="s">
        <v>368</v>
      </c>
      <c r="C124" s="76">
        <f>VLOOKUP("~"&amp;GroupVertices[[#This Row],[Vertex]],Vertices[],MATCH("ID",Vertices[[#Headers],[Vertex]:[Top Word Pairs in Tweet by Salience]],0),FALSE)</f>
        <v>67</v>
      </c>
    </row>
    <row r="125" spans="1:3" ht="15">
      <c r="A125" s="77" t="s">
        <v>2367</v>
      </c>
      <c r="B125" s="80" t="s">
        <v>367</v>
      </c>
      <c r="C125" s="76">
        <f>VLOOKUP("~"&amp;GroupVertices[[#This Row],[Vertex]],Vertices[],MATCH("ID",Vertices[[#Headers],[Vertex]:[Top Word Pairs in Tweet by Salience]],0),FALSE)</f>
        <v>66</v>
      </c>
    </row>
    <row r="126" spans="1:3" ht="15">
      <c r="A126" s="77" t="s">
        <v>2368</v>
      </c>
      <c r="B126" s="80" t="s">
        <v>250</v>
      </c>
      <c r="C126" s="76">
        <f>VLOOKUP("~"&amp;GroupVertices[[#This Row],[Vertex]],Vertices[],MATCH("ID",Vertices[[#Headers],[Vertex]:[Top Word Pairs in Tweet by Salience]],0),FALSE)</f>
        <v>62</v>
      </c>
    </row>
    <row r="127" spans="1:3" ht="15">
      <c r="A127" s="77" t="s">
        <v>2368</v>
      </c>
      <c r="B127" s="80" t="s">
        <v>366</v>
      </c>
      <c r="C127" s="76">
        <f>VLOOKUP("~"&amp;GroupVertices[[#This Row],[Vertex]],Vertices[],MATCH("ID",Vertices[[#Headers],[Vertex]:[Top Word Pairs in Tweet by Salience]],0),FALSE)</f>
        <v>64</v>
      </c>
    </row>
    <row r="128" spans="1:3" ht="15">
      <c r="A128" s="77" t="s">
        <v>2368</v>
      </c>
      <c r="B128" s="80" t="s">
        <v>365</v>
      </c>
      <c r="C128" s="76">
        <f>VLOOKUP("~"&amp;GroupVertices[[#This Row],[Vertex]],Vertices[],MATCH("ID",Vertices[[#Headers],[Vertex]:[Top Word Pairs in Tweet by Salience]],0),FALSE)</f>
        <v>63</v>
      </c>
    </row>
    <row r="129" spans="1:3" ht="15">
      <c r="A129" s="77" t="s">
        <v>2369</v>
      </c>
      <c r="B129" s="80" t="s">
        <v>241</v>
      </c>
      <c r="C129" s="76">
        <f>VLOOKUP("~"&amp;GroupVertices[[#This Row],[Vertex]],Vertices[],MATCH("ID",Vertices[[#Headers],[Vertex]:[Top Word Pairs in Tweet by Salience]],0),FALSE)</f>
        <v>42</v>
      </c>
    </row>
    <row r="130" spans="1:3" ht="15">
      <c r="A130" s="77" t="s">
        <v>2369</v>
      </c>
      <c r="B130" s="80" t="s">
        <v>357</v>
      </c>
      <c r="C130" s="76">
        <f>VLOOKUP("~"&amp;GroupVertices[[#This Row],[Vertex]],Vertices[],MATCH("ID",Vertices[[#Headers],[Vertex]:[Top Word Pairs in Tweet by Salience]],0),FALSE)</f>
        <v>44</v>
      </c>
    </row>
    <row r="131" spans="1:3" ht="15">
      <c r="A131" s="77" t="s">
        <v>2369</v>
      </c>
      <c r="B131" s="80" t="s">
        <v>356</v>
      </c>
      <c r="C131" s="76">
        <f>VLOOKUP("~"&amp;GroupVertices[[#This Row],[Vertex]],Vertices[],MATCH("ID",Vertices[[#Headers],[Vertex]:[Top Word Pairs in Tweet by Salience]],0),FALSE)</f>
        <v>43</v>
      </c>
    </row>
    <row r="132" spans="1:3" ht="15">
      <c r="A132" s="77" t="s">
        <v>2370</v>
      </c>
      <c r="B132" s="80" t="s">
        <v>227</v>
      </c>
      <c r="C132" s="76">
        <f>VLOOKUP("~"&amp;GroupVertices[[#This Row],[Vertex]],Vertices[],MATCH("ID",Vertices[[#Headers],[Vertex]:[Top Word Pairs in Tweet by Salience]],0),FALSE)</f>
        <v>17</v>
      </c>
    </row>
    <row r="133" spans="1:3" ht="15">
      <c r="A133" s="77" t="s">
        <v>2370</v>
      </c>
      <c r="B133" s="80" t="s">
        <v>348</v>
      </c>
      <c r="C133" s="76">
        <f>VLOOKUP("~"&amp;GroupVertices[[#This Row],[Vertex]],Vertices[],MATCH("ID",Vertices[[#Headers],[Vertex]:[Top Word Pairs in Tweet by Salience]],0),FALSE)</f>
        <v>19</v>
      </c>
    </row>
    <row r="134" spans="1:3" ht="15">
      <c r="A134" s="77" t="s">
        <v>2370</v>
      </c>
      <c r="B134" s="80" t="s">
        <v>347</v>
      </c>
      <c r="C134" s="76">
        <f>VLOOKUP("~"&amp;GroupVertices[[#This Row],[Vertex]],Vertices[],MATCH("ID",Vertices[[#Headers],[Vertex]:[Top Word Pairs in Tweet by Salience]],0),FALSE)</f>
        <v>18</v>
      </c>
    </row>
    <row r="135" spans="1:3" ht="15">
      <c r="A135" s="77" t="s">
        <v>2371</v>
      </c>
      <c r="B135" s="80" t="s">
        <v>223</v>
      </c>
      <c r="C135" s="76">
        <f>VLOOKUP("~"&amp;GroupVertices[[#This Row],[Vertex]],Vertices[],MATCH("ID",Vertices[[#Headers],[Vertex]:[Top Word Pairs in Tweet by Salience]],0),FALSE)</f>
        <v>5</v>
      </c>
    </row>
    <row r="136" spans="1:3" ht="15">
      <c r="A136" s="77" t="s">
        <v>2371</v>
      </c>
      <c r="B136" s="80" t="s">
        <v>341</v>
      </c>
      <c r="C136" s="76">
        <f>VLOOKUP("~"&amp;GroupVertices[[#This Row],[Vertex]],Vertices[],MATCH("ID",Vertices[[#Headers],[Vertex]:[Top Word Pairs in Tweet by Salience]],0),FALSE)</f>
        <v>7</v>
      </c>
    </row>
    <row r="137" spans="1:3" ht="15">
      <c r="A137" s="77" t="s">
        <v>2371</v>
      </c>
      <c r="B137" s="80" t="s">
        <v>340</v>
      </c>
      <c r="C137" s="76">
        <f>VLOOKUP("~"&amp;GroupVertices[[#This Row],[Vertex]],Vertices[],MATCH("ID",Vertices[[#Headers],[Vertex]:[Top Word Pairs in Tweet by Salience]],0),FALSE)</f>
        <v>6</v>
      </c>
    </row>
    <row r="138" spans="1:3" ht="15">
      <c r="A138" s="77" t="s">
        <v>2372</v>
      </c>
      <c r="B138" s="80" t="s">
        <v>336</v>
      </c>
      <c r="C138" s="76">
        <f>VLOOKUP("~"&amp;GroupVertices[[#This Row],[Vertex]],Vertices[],MATCH("ID",Vertices[[#Headers],[Vertex]:[Top Word Pairs in Tweet by Salience]],0),FALSE)</f>
        <v>211</v>
      </c>
    </row>
    <row r="139" spans="1:3" ht="15">
      <c r="A139" s="77" t="s">
        <v>2372</v>
      </c>
      <c r="B139" s="80" t="s">
        <v>335</v>
      </c>
      <c r="C139" s="76">
        <f>VLOOKUP("~"&amp;GroupVertices[[#This Row],[Vertex]],Vertices[],MATCH("ID",Vertices[[#Headers],[Vertex]:[Top Word Pairs in Tweet by Salience]],0),FALSE)</f>
        <v>210</v>
      </c>
    </row>
    <row r="140" spans="1:3" ht="15">
      <c r="A140" s="77" t="s">
        <v>2373</v>
      </c>
      <c r="B140" s="80" t="s">
        <v>332</v>
      </c>
      <c r="C140" s="76">
        <f>VLOOKUP("~"&amp;GroupVertices[[#This Row],[Vertex]],Vertices[],MATCH("ID",Vertices[[#Headers],[Vertex]:[Top Word Pairs in Tweet by Salience]],0),FALSE)</f>
        <v>206</v>
      </c>
    </row>
    <row r="141" spans="1:3" ht="15">
      <c r="A141" s="77" t="s">
        <v>2373</v>
      </c>
      <c r="B141" s="80" t="s">
        <v>432</v>
      </c>
      <c r="C141" s="76">
        <f>VLOOKUP("~"&amp;GroupVertices[[#This Row],[Vertex]],Vertices[],MATCH("ID",Vertices[[#Headers],[Vertex]:[Top Word Pairs in Tweet by Salience]],0),FALSE)</f>
        <v>207</v>
      </c>
    </row>
    <row r="142" spans="1:3" ht="15">
      <c r="A142" s="77" t="s">
        <v>2374</v>
      </c>
      <c r="B142" s="80" t="s">
        <v>331</v>
      </c>
      <c r="C142" s="76">
        <f>VLOOKUP("~"&amp;GroupVertices[[#This Row],[Vertex]],Vertices[],MATCH("ID",Vertices[[#Headers],[Vertex]:[Top Word Pairs in Tweet by Salience]],0),FALSE)</f>
        <v>204</v>
      </c>
    </row>
    <row r="143" spans="1:3" ht="15">
      <c r="A143" s="77" t="s">
        <v>2374</v>
      </c>
      <c r="B143" s="80" t="s">
        <v>431</v>
      </c>
      <c r="C143" s="76">
        <f>VLOOKUP("~"&amp;GroupVertices[[#This Row],[Vertex]],Vertices[],MATCH("ID",Vertices[[#Headers],[Vertex]:[Top Word Pairs in Tweet by Salience]],0),FALSE)</f>
        <v>205</v>
      </c>
    </row>
    <row r="144" spans="1:3" ht="15">
      <c r="A144" s="77" t="s">
        <v>2375</v>
      </c>
      <c r="B144" s="80" t="s">
        <v>330</v>
      </c>
      <c r="C144" s="76">
        <f>VLOOKUP("~"&amp;GroupVertices[[#This Row],[Vertex]],Vertices[],MATCH("ID",Vertices[[#Headers],[Vertex]:[Top Word Pairs in Tweet by Salience]],0),FALSE)</f>
        <v>202</v>
      </c>
    </row>
    <row r="145" spans="1:3" ht="15">
      <c r="A145" s="77" t="s">
        <v>2375</v>
      </c>
      <c r="B145" s="80" t="s">
        <v>430</v>
      </c>
      <c r="C145" s="76">
        <f>VLOOKUP("~"&amp;GroupVertices[[#This Row],[Vertex]],Vertices[],MATCH("ID",Vertices[[#Headers],[Vertex]:[Top Word Pairs in Tweet by Salience]],0),FALSE)</f>
        <v>203</v>
      </c>
    </row>
    <row r="146" spans="1:3" ht="15">
      <c r="A146" s="77" t="s">
        <v>2376</v>
      </c>
      <c r="B146" s="80" t="s">
        <v>329</v>
      </c>
      <c r="C146" s="76">
        <f>VLOOKUP("~"&amp;GroupVertices[[#This Row],[Vertex]],Vertices[],MATCH("ID",Vertices[[#Headers],[Vertex]:[Top Word Pairs in Tweet by Salience]],0),FALSE)</f>
        <v>200</v>
      </c>
    </row>
    <row r="147" spans="1:3" ht="15">
      <c r="A147" s="77" t="s">
        <v>2376</v>
      </c>
      <c r="B147" s="80" t="s">
        <v>429</v>
      </c>
      <c r="C147" s="76">
        <f>VLOOKUP("~"&amp;GroupVertices[[#This Row],[Vertex]],Vertices[],MATCH("ID",Vertices[[#Headers],[Vertex]:[Top Word Pairs in Tweet by Salience]],0),FALSE)</f>
        <v>201</v>
      </c>
    </row>
    <row r="148" spans="1:3" ht="15">
      <c r="A148" s="77" t="s">
        <v>2377</v>
      </c>
      <c r="B148" s="80" t="s">
        <v>325</v>
      </c>
      <c r="C148" s="76">
        <f>VLOOKUP("~"&amp;GroupVertices[[#This Row],[Vertex]],Vertices[],MATCH("ID",Vertices[[#Headers],[Vertex]:[Top Word Pairs in Tweet by Salience]],0),FALSE)</f>
        <v>196</v>
      </c>
    </row>
    <row r="149" spans="1:3" ht="15">
      <c r="A149" s="77" t="s">
        <v>2377</v>
      </c>
      <c r="B149" s="80" t="s">
        <v>428</v>
      </c>
      <c r="C149" s="76">
        <f>VLOOKUP("~"&amp;GroupVertices[[#This Row],[Vertex]],Vertices[],MATCH("ID",Vertices[[#Headers],[Vertex]:[Top Word Pairs in Tweet by Salience]],0),FALSE)</f>
        <v>197</v>
      </c>
    </row>
    <row r="150" spans="1:3" ht="15">
      <c r="A150" s="77" t="s">
        <v>2378</v>
      </c>
      <c r="B150" s="80" t="s">
        <v>324</v>
      </c>
      <c r="C150" s="76">
        <f>VLOOKUP("~"&amp;GroupVertices[[#This Row],[Vertex]],Vertices[],MATCH("ID",Vertices[[#Headers],[Vertex]:[Top Word Pairs in Tweet by Salience]],0),FALSE)</f>
        <v>194</v>
      </c>
    </row>
    <row r="151" spans="1:3" ht="15">
      <c r="A151" s="77" t="s">
        <v>2378</v>
      </c>
      <c r="B151" s="80" t="s">
        <v>427</v>
      </c>
      <c r="C151" s="76">
        <f>VLOOKUP("~"&amp;GroupVertices[[#This Row],[Vertex]],Vertices[],MATCH("ID",Vertices[[#Headers],[Vertex]:[Top Word Pairs in Tweet by Salience]],0),FALSE)</f>
        <v>195</v>
      </c>
    </row>
    <row r="152" spans="1:3" ht="15">
      <c r="A152" s="77" t="s">
        <v>2379</v>
      </c>
      <c r="B152" s="80" t="s">
        <v>323</v>
      </c>
      <c r="C152" s="76">
        <f>VLOOKUP("~"&amp;GroupVertices[[#This Row],[Vertex]],Vertices[],MATCH("ID",Vertices[[#Headers],[Vertex]:[Top Word Pairs in Tweet by Salience]],0),FALSE)</f>
        <v>193</v>
      </c>
    </row>
    <row r="153" spans="1:3" ht="15">
      <c r="A153" s="77" t="s">
        <v>2379</v>
      </c>
      <c r="B153" s="80" t="s">
        <v>322</v>
      </c>
      <c r="C153" s="76">
        <f>VLOOKUP("~"&amp;GroupVertices[[#This Row],[Vertex]],Vertices[],MATCH("ID",Vertices[[#Headers],[Vertex]:[Top Word Pairs in Tweet by Salience]],0),FALSE)</f>
        <v>192</v>
      </c>
    </row>
    <row r="154" spans="1:3" ht="15">
      <c r="A154" s="77" t="s">
        <v>2380</v>
      </c>
      <c r="B154" s="80" t="s">
        <v>318</v>
      </c>
      <c r="C154" s="76">
        <f>VLOOKUP("~"&amp;GroupVertices[[#This Row],[Vertex]],Vertices[],MATCH("ID",Vertices[[#Headers],[Vertex]:[Top Word Pairs in Tweet by Salience]],0),FALSE)</f>
        <v>180</v>
      </c>
    </row>
    <row r="155" spans="1:3" ht="15">
      <c r="A155" s="77" t="s">
        <v>2380</v>
      </c>
      <c r="B155" s="80" t="s">
        <v>418</v>
      </c>
      <c r="C155" s="76">
        <f>VLOOKUP("~"&amp;GroupVertices[[#This Row],[Vertex]],Vertices[],MATCH("ID",Vertices[[#Headers],[Vertex]:[Top Word Pairs in Tweet by Salience]],0),FALSE)</f>
        <v>181</v>
      </c>
    </row>
    <row r="156" spans="1:3" ht="15">
      <c r="A156" s="77" t="s">
        <v>2381</v>
      </c>
      <c r="B156" s="80" t="s">
        <v>315</v>
      </c>
      <c r="C156" s="76">
        <f>VLOOKUP("~"&amp;GroupVertices[[#This Row],[Vertex]],Vertices[],MATCH("ID",Vertices[[#Headers],[Vertex]:[Top Word Pairs in Tweet by Salience]],0),FALSE)</f>
        <v>175</v>
      </c>
    </row>
    <row r="157" spans="1:3" ht="15">
      <c r="A157" s="77" t="s">
        <v>2381</v>
      </c>
      <c r="B157" s="80" t="s">
        <v>415</v>
      </c>
      <c r="C157" s="76">
        <f>VLOOKUP("~"&amp;GroupVertices[[#This Row],[Vertex]],Vertices[],MATCH("ID",Vertices[[#Headers],[Vertex]:[Top Word Pairs in Tweet by Salience]],0),FALSE)</f>
        <v>176</v>
      </c>
    </row>
    <row r="158" spans="1:3" ht="15">
      <c r="A158" s="77" t="s">
        <v>2382</v>
      </c>
      <c r="B158" s="80" t="s">
        <v>314</v>
      </c>
      <c r="C158" s="76">
        <f>VLOOKUP("~"&amp;GroupVertices[[#This Row],[Vertex]],Vertices[],MATCH("ID",Vertices[[#Headers],[Vertex]:[Top Word Pairs in Tweet by Salience]],0),FALSE)</f>
        <v>173</v>
      </c>
    </row>
    <row r="159" spans="1:3" ht="15">
      <c r="A159" s="77" t="s">
        <v>2382</v>
      </c>
      <c r="B159" s="80" t="s">
        <v>414</v>
      </c>
      <c r="C159" s="76">
        <f>VLOOKUP("~"&amp;GroupVertices[[#This Row],[Vertex]],Vertices[],MATCH("ID",Vertices[[#Headers],[Vertex]:[Top Word Pairs in Tweet by Salience]],0),FALSE)</f>
        <v>174</v>
      </c>
    </row>
    <row r="160" spans="1:3" ht="15">
      <c r="A160" s="77" t="s">
        <v>2383</v>
      </c>
      <c r="B160" s="80" t="s">
        <v>312</v>
      </c>
      <c r="C160" s="76">
        <f>VLOOKUP("~"&amp;GroupVertices[[#This Row],[Vertex]],Vertices[],MATCH("ID",Vertices[[#Headers],[Vertex]:[Top Word Pairs in Tweet by Salience]],0),FALSE)</f>
        <v>168</v>
      </c>
    </row>
    <row r="161" spans="1:3" ht="15">
      <c r="A161" s="77" t="s">
        <v>2383</v>
      </c>
      <c r="B161" s="80" t="s">
        <v>411</v>
      </c>
      <c r="C161" s="76">
        <f>VLOOKUP("~"&amp;GroupVertices[[#This Row],[Vertex]],Vertices[],MATCH("ID",Vertices[[#Headers],[Vertex]:[Top Word Pairs in Tweet by Salience]],0),FALSE)</f>
        <v>169</v>
      </c>
    </row>
    <row r="162" spans="1:3" ht="15">
      <c r="A162" s="77" t="s">
        <v>2384</v>
      </c>
      <c r="B162" s="80" t="s">
        <v>308</v>
      </c>
      <c r="C162" s="76">
        <f>VLOOKUP("~"&amp;GroupVertices[[#This Row],[Vertex]],Vertices[],MATCH("ID",Vertices[[#Headers],[Vertex]:[Top Word Pairs in Tweet by Salience]],0),FALSE)</f>
        <v>161</v>
      </c>
    </row>
    <row r="163" spans="1:3" ht="15">
      <c r="A163" s="77" t="s">
        <v>2384</v>
      </c>
      <c r="B163" s="80" t="s">
        <v>408</v>
      </c>
      <c r="C163" s="76">
        <f>VLOOKUP("~"&amp;GroupVertices[[#This Row],[Vertex]],Vertices[],MATCH("ID",Vertices[[#Headers],[Vertex]:[Top Word Pairs in Tweet by Salience]],0),FALSE)</f>
        <v>162</v>
      </c>
    </row>
    <row r="164" spans="1:3" ht="15">
      <c r="A164" s="77" t="s">
        <v>2385</v>
      </c>
      <c r="B164" s="80" t="s">
        <v>320</v>
      </c>
      <c r="C164" s="76">
        <f>VLOOKUP("~"&amp;GroupVertices[[#This Row],[Vertex]],Vertices[],MATCH("ID",Vertices[[#Headers],[Vertex]:[Top Word Pairs in Tweet by Salience]],0),FALSE)</f>
        <v>160</v>
      </c>
    </row>
    <row r="165" spans="1:3" ht="15">
      <c r="A165" s="77" t="s">
        <v>2385</v>
      </c>
      <c r="B165" s="80" t="s">
        <v>307</v>
      </c>
      <c r="C165" s="76">
        <f>VLOOKUP("~"&amp;GroupVertices[[#This Row],[Vertex]],Vertices[],MATCH("ID",Vertices[[#Headers],[Vertex]:[Top Word Pairs in Tweet by Salience]],0),FALSE)</f>
        <v>159</v>
      </c>
    </row>
    <row r="166" spans="1:3" ht="15">
      <c r="A166" s="77" t="s">
        <v>2386</v>
      </c>
      <c r="B166" s="80" t="s">
        <v>303</v>
      </c>
      <c r="C166" s="76">
        <f>VLOOKUP("~"&amp;GroupVertices[[#This Row],[Vertex]],Vertices[],MATCH("ID",Vertices[[#Headers],[Vertex]:[Top Word Pairs in Tweet by Salience]],0),FALSE)</f>
        <v>154</v>
      </c>
    </row>
    <row r="167" spans="1:3" ht="15">
      <c r="A167" s="77" t="s">
        <v>2386</v>
      </c>
      <c r="B167" s="80" t="s">
        <v>405</v>
      </c>
      <c r="C167" s="76">
        <f>VLOOKUP("~"&amp;GroupVertices[[#This Row],[Vertex]],Vertices[],MATCH("ID",Vertices[[#Headers],[Vertex]:[Top Word Pairs in Tweet by Salience]],0),FALSE)</f>
        <v>155</v>
      </c>
    </row>
    <row r="168" spans="1:3" ht="15">
      <c r="A168" s="77" t="s">
        <v>2387</v>
      </c>
      <c r="B168" s="80" t="s">
        <v>297</v>
      </c>
      <c r="C168" s="76">
        <f>VLOOKUP("~"&amp;GroupVertices[[#This Row],[Vertex]],Vertices[],MATCH("ID",Vertices[[#Headers],[Vertex]:[Top Word Pairs in Tweet by Salience]],0),FALSE)</f>
        <v>148</v>
      </c>
    </row>
    <row r="169" spans="1:3" ht="15">
      <c r="A169" s="77" t="s">
        <v>2387</v>
      </c>
      <c r="B169" s="80" t="s">
        <v>404</v>
      </c>
      <c r="C169" s="76">
        <f>VLOOKUP("~"&amp;GroupVertices[[#This Row],[Vertex]],Vertices[],MATCH("ID",Vertices[[#Headers],[Vertex]:[Top Word Pairs in Tweet by Salience]],0),FALSE)</f>
        <v>149</v>
      </c>
    </row>
    <row r="170" spans="1:3" ht="15">
      <c r="A170" s="77" t="s">
        <v>2388</v>
      </c>
      <c r="B170" s="80" t="s">
        <v>296</v>
      </c>
      <c r="C170" s="76">
        <f>VLOOKUP("~"&amp;GroupVertices[[#This Row],[Vertex]],Vertices[],MATCH("ID",Vertices[[#Headers],[Vertex]:[Top Word Pairs in Tweet by Salience]],0),FALSE)</f>
        <v>146</v>
      </c>
    </row>
    <row r="171" spans="1:3" ht="15">
      <c r="A171" s="77" t="s">
        <v>2388</v>
      </c>
      <c r="B171" s="80" t="s">
        <v>403</v>
      </c>
      <c r="C171" s="76">
        <f>VLOOKUP("~"&amp;GroupVertices[[#This Row],[Vertex]],Vertices[],MATCH("ID",Vertices[[#Headers],[Vertex]:[Top Word Pairs in Tweet by Salience]],0),FALSE)</f>
        <v>147</v>
      </c>
    </row>
    <row r="172" spans="1:3" ht="15">
      <c r="A172" s="77" t="s">
        <v>2389</v>
      </c>
      <c r="B172" s="80" t="s">
        <v>305</v>
      </c>
      <c r="C172" s="76">
        <f>VLOOKUP("~"&amp;GroupVertices[[#This Row],[Vertex]],Vertices[],MATCH("ID",Vertices[[#Headers],[Vertex]:[Top Word Pairs in Tweet by Salience]],0),FALSE)</f>
        <v>145</v>
      </c>
    </row>
    <row r="173" spans="1:3" ht="15">
      <c r="A173" s="77" t="s">
        <v>2389</v>
      </c>
      <c r="B173" s="80" t="s">
        <v>295</v>
      </c>
      <c r="C173" s="76">
        <f>VLOOKUP("~"&amp;GroupVertices[[#This Row],[Vertex]],Vertices[],MATCH("ID",Vertices[[#Headers],[Vertex]:[Top Word Pairs in Tweet by Salience]],0),FALSE)</f>
        <v>144</v>
      </c>
    </row>
    <row r="174" spans="1:3" ht="15">
      <c r="A174" s="77" t="s">
        <v>2390</v>
      </c>
      <c r="B174" s="80" t="s">
        <v>293</v>
      </c>
      <c r="C174" s="76">
        <f>VLOOKUP("~"&amp;GroupVertices[[#This Row],[Vertex]],Vertices[],MATCH("ID",Vertices[[#Headers],[Vertex]:[Top Word Pairs in Tweet by Salience]],0),FALSE)</f>
        <v>143</v>
      </c>
    </row>
    <row r="175" spans="1:3" ht="15">
      <c r="A175" s="77" t="s">
        <v>2390</v>
      </c>
      <c r="B175" s="80" t="s">
        <v>292</v>
      </c>
      <c r="C175" s="76">
        <f>VLOOKUP("~"&amp;GroupVertices[[#This Row],[Vertex]],Vertices[],MATCH("ID",Vertices[[#Headers],[Vertex]:[Top Word Pairs in Tweet by Salience]],0),FALSE)</f>
        <v>142</v>
      </c>
    </row>
    <row r="176" spans="1:3" ht="15">
      <c r="A176" s="77" t="s">
        <v>2391</v>
      </c>
      <c r="B176" s="80" t="s">
        <v>290</v>
      </c>
      <c r="C176" s="76">
        <f>VLOOKUP("~"&amp;GroupVertices[[#This Row],[Vertex]],Vertices[],MATCH("ID",Vertices[[#Headers],[Vertex]:[Top Word Pairs in Tweet by Salience]],0),FALSE)</f>
        <v>135</v>
      </c>
    </row>
    <row r="177" spans="1:3" ht="15">
      <c r="A177" s="77" t="s">
        <v>2391</v>
      </c>
      <c r="B177" s="80" t="s">
        <v>289</v>
      </c>
      <c r="C177" s="76">
        <f>VLOOKUP("~"&amp;GroupVertices[[#This Row],[Vertex]],Vertices[],MATCH("ID",Vertices[[#Headers],[Vertex]:[Top Word Pairs in Tweet by Salience]],0),FALSE)</f>
        <v>134</v>
      </c>
    </row>
    <row r="178" spans="1:3" ht="15">
      <c r="A178" s="77" t="s">
        <v>2392</v>
      </c>
      <c r="B178" s="80" t="s">
        <v>287</v>
      </c>
      <c r="C178" s="76">
        <f>VLOOKUP("~"&amp;GroupVertices[[#This Row],[Vertex]],Vertices[],MATCH("ID",Vertices[[#Headers],[Vertex]:[Top Word Pairs in Tweet by Salience]],0),FALSE)</f>
        <v>126</v>
      </c>
    </row>
    <row r="179" spans="1:3" ht="15">
      <c r="A179" s="77" t="s">
        <v>2392</v>
      </c>
      <c r="B179" s="80" t="s">
        <v>286</v>
      </c>
      <c r="C179" s="76">
        <f>VLOOKUP("~"&amp;GroupVertices[[#This Row],[Vertex]],Vertices[],MATCH("ID",Vertices[[#Headers],[Vertex]:[Top Word Pairs in Tweet by Salience]],0),FALSE)</f>
        <v>125</v>
      </c>
    </row>
    <row r="180" spans="1:3" ht="15">
      <c r="A180" s="77" t="s">
        <v>2393</v>
      </c>
      <c r="B180" s="80" t="s">
        <v>285</v>
      </c>
      <c r="C180" s="76">
        <f>VLOOKUP("~"&amp;GroupVertices[[#This Row],[Vertex]],Vertices[],MATCH("ID",Vertices[[#Headers],[Vertex]:[Top Word Pairs in Tweet by Salience]],0),FALSE)</f>
        <v>123</v>
      </c>
    </row>
    <row r="181" spans="1:3" ht="15">
      <c r="A181" s="77" t="s">
        <v>2393</v>
      </c>
      <c r="B181" s="80" t="s">
        <v>391</v>
      </c>
      <c r="C181" s="76">
        <f>VLOOKUP("~"&amp;GroupVertices[[#This Row],[Vertex]],Vertices[],MATCH("ID",Vertices[[#Headers],[Vertex]:[Top Word Pairs in Tweet by Salience]],0),FALSE)</f>
        <v>124</v>
      </c>
    </row>
    <row r="182" spans="1:3" ht="15">
      <c r="A182" s="77" t="s">
        <v>2394</v>
      </c>
      <c r="B182" s="80" t="s">
        <v>282</v>
      </c>
      <c r="C182" s="76">
        <f>VLOOKUP("~"&amp;GroupVertices[[#This Row],[Vertex]],Vertices[],MATCH("ID",Vertices[[#Headers],[Vertex]:[Top Word Pairs in Tweet by Salience]],0),FALSE)</f>
        <v>117</v>
      </c>
    </row>
    <row r="183" spans="1:3" ht="15">
      <c r="A183" s="77" t="s">
        <v>2394</v>
      </c>
      <c r="B183" s="80" t="s">
        <v>388</v>
      </c>
      <c r="C183" s="76">
        <f>VLOOKUP("~"&amp;GroupVertices[[#This Row],[Vertex]],Vertices[],MATCH("ID",Vertices[[#Headers],[Vertex]:[Top Word Pairs in Tweet by Salience]],0),FALSE)</f>
        <v>118</v>
      </c>
    </row>
    <row r="184" spans="1:3" ht="15">
      <c r="A184" s="77" t="s">
        <v>2395</v>
      </c>
      <c r="B184" s="80" t="s">
        <v>279</v>
      </c>
      <c r="C184" s="76">
        <f>VLOOKUP("~"&amp;GroupVertices[[#This Row],[Vertex]],Vertices[],MATCH("ID",Vertices[[#Headers],[Vertex]:[Top Word Pairs in Tweet by Salience]],0),FALSE)</f>
        <v>114</v>
      </c>
    </row>
    <row r="185" spans="1:3" ht="15">
      <c r="A185" s="77" t="s">
        <v>2395</v>
      </c>
      <c r="B185" s="80" t="s">
        <v>387</v>
      </c>
      <c r="C185" s="76">
        <f>VLOOKUP("~"&amp;GroupVertices[[#This Row],[Vertex]],Vertices[],MATCH("ID",Vertices[[#Headers],[Vertex]:[Top Word Pairs in Tweet by Salience]],0),FALSE)</f>
        <v>115</v>
      </c>
    </row>
    <row r="186" spans="1:3" ht="15">
      <c r="A186" s="77" t="s">
        <v>2396</v>
      </c>
      <c r="B186" s="80" t="s">
        <v>294</v>
      </c>
      <c r="C186" s="76">
        <f>VLOOKUP("~"&amp;GroupVertices[[#This Row],[Vertex]],Vertices[],MATCH("ID",Vertices[[#Headers],[Vertex]:[Top Word Pairs in Tweet by Salience]],0),FALSE)</f>
        <v>113</v>
      </c>
    </row>
    <row r="187" spans="1:3" ht="15">
      <c r="A187" s="77" t="s">
        <v>2396</v>
      </c>
      <c r="B187" s="80" t="s">
        <v>278</v>
      </c>
      <c r="C187" s="76">
        <f>VLOOKUP("~"&amp;GroupVertices[[#This Row],[Vertex]],Vertices[],MATCH("ID",Vertices[[#Headers],[Vertex]:[Top Word Pairs in Tweet by Salience]],0),FALSE)</f>
        <v>112</v>
      </c>
    </row>
    <row r="188" spans="1:3" ht="15">
      <c r="A188" s="77" t="s">
        <v>2397</v>
      </c>
      <c r="B188" s="80" t="s">
        <v>277</v>
      </c>
      <c r="C188" s="76">
        <f>VLOOKUP("~"&amp;GroupVertices[[#This Row],[Vertex]],Vertices[],MATCH("ID",Vertices[[#Headers],[Vertex]:[Top Word Pairs in Tweet by Salience]],0),FALSE)</f>
        <v>110</v>
      </c>
    </row>
    <row r="189" spans="1:3" ht="15">
      <c r="A189" s="77" t="s">
        <v>2397</v>
      </c>
      <c r="B189" s="80" t="s">
        <v>386</v>
      </c>
      <c r="C189" s="76">
        <f>VLOOKUP("~"&amp;GroupVertices[[#This Row],[Vertex]],Vertices[],MATCH("ID",Vertices[[#Headers],[Vertex]:[Top Word Pairs in Tweet by Salience]],0),FALSE)</f>
        <v>111</v>
      </c>
    </row>
    <row r="190" spans="1:3" ht="15">
      <c r="A190" s="77" t="s">
        <v>2398</v>
      </c>
      <c r="B190" s="80" t="s">
        <v>275</v>
      </c>
      <c r="C190" s="76">
        <f>VLOOKUP("~"&amp;GroupVertices[[#This Row],[Vertex]],Vertices[],MATCH("ID",Vertices[[#Headers],[Vertex]:[Top Word Pairs in Tweet by Salience]],0),FALSE)</f>
        <v>107</v>
      </c>
    </row>
    <row r="191" spans="1:3" ht="15">
      <c r="A191" s="77" t="s">
        <v>2398</v>
      </c>
      <c r="B191" s="80" t="s">
        <v>385</v>
      </c>
      <c r="C191" s="76">
        <f>VLOOKUP("~"&amp;GroupVertices[[#This Row],[Vertex]],Vertices[],MATCH("ID",Vertices[[#Headers],[Vertex]:[Top Word Pairs in Tweet by Salience]],0),FALSE)</f>
        <v>108</v>
      </c>
    </row>
    <row r="192" spans="1:3" ht="15">
      <c r="A192" s="77" t="s">
        <v>2399</v>
      </c>
      <c r="B192" s="80" t="s">
        <v>274</v>
      </c>
      <c r="C192" s="76">
        <f>VLOOKUP("~"&amp;GroupVertices[[#This Row],[Vertex]],Vertices[],MATCH("ID",Vertices[[#Headers],[Vertex]:[Top Word Pairs in Tweet by Salience]],0),FALSE)</f>
        <v>105</v>
      </c>
    </row>
    <row r="193" spans="1:3" ht="15">
      <c r="A193" s="77" t="s">
        <v>2399</v>
      </c>
      <c r="B193" s="80" t="s">
        <v>384</v>
      </c>
      <c r="C193" s="76">
        <f>VLOOKUP("~"&amp;GroupVertices[[#This Row],[Vertex]],Vertices[],MATCH("ID",Vertices[[#Headers],[Vertex]:[Top Word Pairs in Tweet by Salience]],0),FALSE)</f>
        <v>106</v>
      </c>
    </row>
    <row r="194" spans="1:3" ht="15">
      <c r="A194" s="77" t="s">
        <v>2400</v>
      </c>
      <c r="B194" s="80" t="s">
        <v>273</v>
      </c>
      <c r="C194" s="76">
        <f>VLOOKUP("~"&amp;GroupVertices[[#This Row],[Vertex]],Vertices[],MATCH("ID",Vertices[[#Headers],[Vertex]:[Top Word Pairs in Tweet by Salience]],0),FALSE)</f>
        <v>103</v>
      </c>
    </row>
    <row r="195" spans="1:3" ht="15">
      <c r="A195" s="77" t="s">
        <v>2400</v>
      </c>
      <c r="B195" s="80" t="s">
        <v>383</v>
      </c>
      <c r="C195" s="76">
        <f>VLOOKUP("~"&amp;GroupVertices[[#This Row],[Vertex]],Vertices[],MATCH("ID",Vertices[[#Headers],[Vertex]:[Top Word Pairs in Tweet by Salience]],0),FALSE)</f>
        <v>104</v>
      </c>
    </row>
    <row r="196" spans="1:3" ht="15">
      <c r="A196" s="77" t="s">
        <v>2401</v>
      </c>
      <c r="B196" s="80" t="s">
        <v>272</v>
      </c>
      <c r="C196" s="76">
        <f>VLOOKUP("~"&amp;GroupVertices[[#This Row],[Vertex]],Vertices[],MATCH("ID",Vertices[[#Headers],[Vertex]:[Top Word Pairs in Tweet by Salience]],0),FALSE)</f>
        <v>101</v>
      </c>
    </row>
    <row r="197" spans="1:3" ht="15">
      <c r="A197" s="77" t="s">
        <v>2401</v>
      </c>
      <c r="B197" s="80" t="s">
        <v>382</v>
      </c>
      <c r="C197" s="76">
        <f>VLOOKUP("~"&amp;GroupVertices[[#This Row],[Vertex]],Vertices[],MATCH("ID",Vertices[[#Headers],[Vertex]:[Top Word Pairs in Tweet by Salience]],0),FALSE)</f>
        <v>102</v>
      </c>
    </row>
    <row r="198" spans="1:3" ht="15">
      <c r="A198" s="77" t="s">
        <v>2402</v>
      </c>
      <c r="B198" s="80" t="s">
        <v>267</v>
      </c>
      <c r="C198" s="76">
        <f>VLOOKUP("~"&amp;GroupVertices[[#This Row],[Vertex]],Vertices[],MATCH("ID",Vertices[[#Headers],[Vertex]:[Top Word Pairs in Tweet by Salience]],0),FALSE)</f>
        <v>93</v>
      </c>
    </row>
    <row r="199" spans="1:3" ht="15">
      <c r="A199" s="77" t="s">
        <v>2402</v>
      </c>
      <c r="B199" s="80" t="s">
        <v>378</v>
      </c>
      <c r="C199" s="76">
        <f>VLOOKUP("~"&amp;GroupVertices[[#This Row],[Vertex]],Vertices[],MATCH("ID",Vertices[[#Headers],[Vertex]:[Top Word Pairs in Tweet by Salience]],0),FALSE)</f>
        <v>94</v>
      </c>
    </row>
    <row r="200" spans="1:3" ht="15">
      <c r="A200" s="77" t="s">
        <v>2403</v>
      </c>
      <c r="B200" s="80" t="s">
        <v>266</v>
      </c>
      <c r="C200" s="76">
        <f>VLOOKUP("~"&amp;GroupVertices[[#This Row],[Vertex]],Vertices[],MATCH("ID",Vertices[[#Headers],[Vertex]:[Top Word Pairs in Tweet by Salience]],0),FALSE)</f>
        <v>91</v>
      </c>
    </row>
    <row r="201" spans="1:3" ht="15">
      <c r="A201" s="77" t="s">
        <v>2403</v>
      </c>
      <c r="B201" s="80" t="s">
        <v>377</v>
      </c>
      <c r="C201" s="76">
        <f>VLOOKUP("~"&amp;GroupVertices[[#This Row],[Vertex]],Vertices[],MATCH("ID",Vertices[[#Headers],[Vertex]:[Top Word Pairs in Tweet by Salience]],0),FALSE)</f>
        <v>92</v>
      </c>
    </row>
    <row r="202" spans="1:3" ht="15">
      <c r="A202" s="77" t="s">
        <v>2404</v>
      </c>
      <c r="B202" s="80" t="s">
        <v>262</v>
      </c>
      <c r="C202" s="76">
        <f>VLOOKUP("~"&amp;GroupVertices[[#This Row],[Vertex]],Vertices[],MATCH("ID",Vertices[[#Headers],[Vertex]:[Top Word Pairs in Tweet by Salience]],0),FALSE)</f>
        <v>85</v>
      </c>
    </row>
    <row r="203" spans="1:3" ht="15">
      <c r="A203" s="77" t="s">
        <v>2404</v>
      </c>
      <c r="B203" s="80" t="s">
        <v>375</v>
      </c>
      <c r="C203" s="76">
        <f>VLOOKUP("~"&amp;GroupVertices[[#This Row],[Vertex]],Vertices[],MATCH("ID",Vertices[[#Headers],[Vertex]:[Top Word Pairs in Tweet by Salience]],0),FALSE)</f>
        <v>86</v>
      </c>
    </row>
    <row r="204" spans="1:3" ht="15">
      <c r="A204" s="77" t="s">
        <v>2405</v>
      </c>
      <c r="B204" s="80" t="s">
        <v>252</v>
      </c>
      <c r="C204" s="76">
        <f>VLOOKUP("~"&amp;GroupVertices[[#This Row],[Vertex]],Vertices[],MATCH("ID",Vertices[[#Headers],[Vertex]:[Top Word Pairs in Tweet by Salience]],0),FALSE)</f>
        <v>68</v>
      </c>
    </row>
    <row r="205" spans="1:3" ht="15">
      <c r="A205" s="77" t="s">
        <v>2405</v>
      </c>
      <c r="B205" s="80" t="s">
        <v>369</v>
      </c>
      <c r="C205" s="76">
        <f>VLOOKUP("~"&amp;GroupVertices[[#This Row],[Vertex]],Vertices[],MATCH("ID",Vertices[[#Headers],[Vertex]:[Top Word Pairs in Tweet by Salience]],0),FALSE)</f>
        <v>69</v>
      </c>
    </row>
    <row r="206" spans="1:3" ht="15">
      <c r="A206" s="77" t="s">
        <v>2406</v>
      </c>
      <c r="B206" s="80" t="s">
        <v>248</v>
      </c>
      <c r="C206" s="76">
        <f>VLOOKUP("~"&amp;GroupVertices[[#This Row],[Vertex]],Vertices[],MATCH("ID",Vertices[[#Headers],[Vertex]:[Top Word Pairs in Tweet by Salience]],0),FALSE)</f>
        <v>59</v>
      </c>
    </row>
    <row r="207" spans="1:3" ht="15">
      <c r="A207" s="77" t="s">
        <v>2406</v>
      </c>
      <c r="B207" s="80" t="s">
        <v>364</v>
      </c>
      <c r="C207" s="76">
        <f>VLOOKUP("~"&amp;GroupVertices[[#This Row],[Vertex]],Vertices[],MATCH("ID",Vertices[[#Headers],[Vertex]:[Top Word Pairs in Tweet by Salience]],0),FALSE)</f>
        <v>60</v>
      </c>
    </row>
    <row r="208" spans="1:3" ht="15">
      <c r="A208" s="77" t="s">
        <v>2407</v>
      </c>
      <c r="B208" s="80" t="s">
        <v>243</v>
      </c>
      <c r="C208" s="76">
        <f>VLOOKUP("~"&amp;GroupVertices[[#This Row],[Vertex]],Vertices[],MATCH("ID",Vertices[[#Headers],[Vertex]:[Top Word Pairs in Tweet by Salience]],0),FALSE)</f>
        <v>46</v>
      </c>
    </row>
    <row r="209" spans="1:3" ht="15">
      <c r="A209" s="77" t="s">
        <v>2407</v>
      </c>
      <c r="B209" s="80" t="s">
        <v>358</v>
      </c>
      <c r="C209" s="76">
        <f>VLOOKUP("~"&amp;GroupVertices[[#This Row],[Vertex]],Vertices[],MATCH("ID",Vertices[[#Headers],[Vertex]:[Top Word Pairs in Tweet by Salience]],0),FALSE)</f>
        <v>47</v>
      </c>
    </row>
    <row r="210" spans="1:3" ht="15">
      <c r="A210" s="77" t="s">
        <v>2408</v>
      </c>
      <c r="B210" s="80" t="s">
        <v>240</v>
      </c>
      <c r="C210" s="76">
        <f>VLOOKUP("~"&amp;GroupVertices[[#This Row],[Vertex]],Vertices[],MATCH("ID",Vertices[[#Headers],[Vertex]:[Top Word Pairs in Tweet by Salience]],0),FALSE)</f>
        <v>40</v>
      </c>
    </row>
    <row r="211" spans="1:3" ht="15">
      <c r="A211" s="77" t="s">
        <v>2408</v>
      </c>
      <c r="B211" s="80" t="s">
        <v>355</v>
      </c>
      <c r="C211" s="76">
        <f>VLOOKUP("~"&amp;GroupVertices[[#This Row],[Vertex]],Vertices[],MATCH("ID",Vertices[[#Headers],[Vertex]:[Top Word Pairs in Tweet by Salience]],0),FALSE)</f>
        <v>41</v>
      </c>
    </row>
    <row r="212" spans="1:3" ht="15">
      <c r="A212" s="77" t="s">
        <v>2409</v>
      </c>
      <c r="B212" s="80" t="s">
        <v>280</v>
      </c>
      <c r="C212" s="76">
        <f>VLOOKUP("~"&amp;GroupVertices[[#This Row],[Vertex]],Vertices[],MATCH("ID",Vertices[[#Headers],[Vertex]:[Top Word Pairs in Tweet by Salience]],0),FALSE)</f>
        <v>39</v>
      </c>
    </row>
    <row r="213" spans="1:3" ht="15">
      <c r="A213" s="77" t="s">
        <v>2409</v>
      </c>
      <c r="B213" s="80" t="s">
        <v>239</v>
      </c>
      <c r="C213" s="76">
        <f>VLOOKUP("~"&amp;GroupVertices[[#This Row],[Vertex]],Vertices[],MATCH("ID",Vertices[[#Headers],[Vertex]:[Top Word Pairs in Tweet by Salience]],0),FALSE)</f>
        <v>38</v>
      </c>
    </row>
    <row r="214" spans="1:3" ht="15">
      <c r="A214" s="77" t="s">
        <v>2410</v>
      </c>
      <c r="B214" s="80" t="s">
        <v>236</v>
      </c>
      <c r="C214" s="76">
        <f>VLOOKUP("~"&amp;GroupVertices[[#This Row],[Vertex]],Vertices[],MATCH("ID",Vertices[[#Headers],[Vertex]:[Top Word Pairs in Tweet by Salience]],0),FALSE)</f>
        <v>34</v>
      </c>
    </row>
    <row r="215" spans="1:3" ht="15">
      <c r="A215" s="77" t="s">
        <v>2410</v>
      </c>
      <c r="B215" s="80" t="s">
        <v>354</v>
      </c>
      <c r="C215" s="76">
        <f>VLOOKUP("~"&amp;GroupVertices[[#This Row],[Vertex]],Vertices[],MATCH("ID",Vertices[[#Headers],[Vertex]:[Top Word Pairs in Tweet by Salience]],0),FALSE)</f>
        <v>35</v>
      </c>
    </row>
    <row r="216" spans="1:3" ht="15">
      <c r="A216" s="77" t="s">
        <v>2411</v>
      </c>
      <c r="B216" s="80" t="s">
        <v>228</v>
      </c>
      <c r="C216" s="76">
        <f>VLOOKUP("~"&amp;GroupVertices[[#This Row],[Vertex]],Vertices[],MATCH("ID",Vertices[[#Headers],[Vertex]:[Top Word Pairs in Tweet by Salience]],0),FALSE)</f>
        <v>20</v>
      </c>
    </row>
    <row r="217" spans="1:3" ht="15">
      <c r="A217" s="77" t="s">
        <v>2411</v>
      </c>
      <c r="B217" s="80" t="s">
        <v>349</v>
      </c>
      <c r="C217" s="76">
        <f>VLOOKUP("~"&amp;GroupVertices[[#This Row],[Vertex]],Vertices[],MATCH("ID",Vertices[[#Headers],[Vertex]:[Top Word Pairs in Tweet by Salience]],0),FALSE)</f>
        <v>21</v>
      </c>
    </row>
    <row r="218" spans="1:3" ht="15">
      <c r="A218" s="77" t="s">
        <v>2412</v>
      </c>
      <c r="B218" s="80" t="s">
        <v>339</v>
      </c>
      <c r="C218" s="76">
        <f>VLOOKUP("~"&amp;GroupVertices[[#This Row],[Vertex]],Vertices[],MATCH("ID",Vertices[[#Headers],[Vertex]:[Top Word Pairs in Tweet by Salience]],0),FALSE)</f>
        <v>3</v>
      </c>
    </row>
    <row r="219" spans="1:3" ht="15">
      <c r="A219" s="77" t="s">
        <v>2412</v>
      </c>
      <c r="B219" s="80" t="s">
        <v>436</v>
      </c>
      <c r="C219" s="76">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19"/>
    <dataValidation allowBlank="1" showInputMessage="1" showErrorMessage="1" promptTitle="Vertex Name" prompt="Enter the name of a vertex to include in the group." sqref="B2:B219"/>
    <dataValidation allowBlank="1" showInputMessage="1" promptTitle="Vertex ID" prompt="This is the value of the hidden ID cell in the Vertices worksheet.  It gets filled in by the items on the NodeXL, Analysis, Groups menu." sqref="C2:C2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10949</v>
      </c>
      <c r="B2" s="31" t="s">
        <v>2313</v>
      </c>
      <c r="D2" s="29">
        <f>MIN(Vertices[Degree])</f>
        <v>0</v>
      </c>
      <c r="E2">
        <f>COUNTIF(Vertices[Degree],"&gt;= "&amp;D2)-COUNTIF(Vertices[Degree],"&gt;="&amp;D3)</f>
        <v>0</v>
      </c>
      <c r="F2" s="34">
        <f>MIN(Vertices[In-Degree])</f>
        <v>0</v>
      </c>
      <c r="G2" s="35">
        <f>COUNTIF(Vertices[In-Degree],"&gt;= "&amp;F2)-COUNTIF(Vertices[In-Degree],"&gt;="&amp;F3)</f>
        <v>69</v>
      </c>
      <c r="H2" s="34">
        <f>MIN(Vertices[Out-Degree])</f>
        <v>0</v>
      </c>
      <c r="I2" s="35">
        <f>COUNTIF(Vertices[Out-Degree],"&gt;= "&amp;H2)-COUNTIF(Vertices[Out-Degree],"&gt;="&amp;H3)</f>
        <v>101</v>
      </c>
      <c r="J2" s="34">
        <f>MIN(Vertices[Betweenness Centrality])</f>
        <v>0</v>
      </c>
      <c r="K2" s="35">
        <f>COUNTIF(Vertices[Betweenness Centrality],"&gt;= "&amp;J2)-COUNTIF(Vertices[Betweenness Centrality],"&gt;="&amp;J3)</f>
        <v>202</v>
      </c>
      <c r="L2" s="34">
        <f>MIN(Vertices[Closeness Centrality])</f>
        <v>0</v>
      </c>
      <c r="M2" s="35">
        <f>COUNTIF(Vertices[Closeness Centrality],"&gt;= "&amp;L2)-COUNTIF(Vertices[Closeness Centrality],"&gt;="&amp;L3)</f>
        <v>36</v>
      </c>
      <c r="N2" s="34">
        <f>MIN(Vertices[Eigenvector Centrality])</f>
        <v>0</v>
      </c>
      <c r="O2" s="35">
        <f>COUNTIF(Vertices[Eigenvector Centrality],"&gt;= "&amp;N2)-COUNTIF(Vertices[Eigenvector Centrality],"&gt;="&amp;N3)</f>
        <v>206</v>
      </c>
      <c r="P2" s="34">
        <f>MIN(Vertices[PageRank])</f>
        <v>0</v>
      </c>
      <c r="Q2" s="35">
        <f>COUNTIF(Vertices[PageRank],"&gt;= "&amp;P2)-COUNTIF(Vertices[PageRank],"&gt;="&amp;P3)</f>
        <v>4</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0.2647058823529412</v>
      </c>
      <c r="I3" s="37">
        <f>COUNTIF(Vertices[Out-Degree],"&gt;= "&amp;H3)-COUNTIF(Vertices[Out-Degree],"&gt;="&amp;H4)</f>
        <v>0</v>
      </c>
      <c r="J3" s="36">
        <f aca="true" t="shared" si="4" ref="J3:J35">J2+($J$36-$J$2)/BinDivisor</f>
        <v>3.0588235294117645</v>
      </c>
      <c r="K3" s="37">
        <f>COUNTIF(Vertices[Betweenness Centrality],"&gt;= "&amp;J3)-COUNTIF(Vertices[Betweenness Centrality],"&gt;="&amp;J4)</f>
        <v>3</v>
      </c>
      <c r="L3" s="36">
        <f aca="true" t="shared" si="5" ref="L3:L35">L2+($L$36-$L$2)/BinDivisor</f>
        <v>0.0012852352941176471</v>
      </c>
      <c r="M3" s="37">
        <f>COUNTIF(Vertices[Closeness Centrality],"&gt;= "&amp;L3)-COUNTIF(Vertices[Closeness Centrality],"&gt;="&amp;L4)</f>
        <v>0</v>
      </c>
      <c r="N3" s="36">
        <f aca="true" t="shared" si="6" ref="N3:N35">N2+($N$36-$N$2)/BinDivisor</f>
        <v>0.011148823529411765</v>
      </c>
      <c r="O3" s="37">
        <f>COUNTIF(Vertices[Eigenvector Centrality],"&gt;= "&amp;N3)-COUNTIF(Vertices[Eigenvector Centrality],"&gt;="&amp;N4)</f>
        <v>0</v>
      </c>
      <c r="P3" s="36">
        <f aca="true" t="shared" si="7" ref="P3:P35">P2+($P$36-$P$2)/BinDivisor</f>
        <v>0.0002703529411764706</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218</v>
      </c>
      <c r="D4" s="29">
        <f t="shared" si="1"/>
        <v>0</v>
      </c>
      <c r="E4">
        <f>COUNTIF(Vertices[Degree],"&gt;= "&amp;D4)-COUNTIF(Vertices[Degree],"&gt;="&amp;D5)</f>
        <v>0</v>
      </c>
      <c r="F4" s="34">
        <f t="shared" si="2"/>
        <v>0.29411764705882354</v>
      </c>
      <c r="G4" s="35">
        <f>COUNTIF(Vertices[In-Degree],"&gt;= "&amp;F4)-COUNTIF(Vertices[In-Degree],"&gt;="&amp;F5)</f>
        <v>0</v>
      </c>
      <c r="H4" s="34">
        <f t="shared" si="3"/>
        <v>0.5294117647058824</v>
      </c>
      <c r="I4" s="35">
        <f>COUNTIF(Vertices[Out-Degree],"&gt;= "&amp;H4)-COUNTIF(Vertices[Out-Degree],"&gt;="&amp;H5)</f>
        <v>0</v>
      </c>
      <c r="J4" s="34">
        <f t="shared" si="4"/>
        <v>6.117647058823529</v>
      </c>
      <c r="K4" s="35">
        <f>COUNTIF(Vertices[Betweenness Centrality],"&gt;= "&amp;J4)-COUNTIF(Vertices[Betweenness Centrality],"&gt;="&amp;J5)</f>
        <v>0</v>
      </c>
      <c r="L4" s="34">
        <f t="shared" si="5"/>
        <v>0.0025704705882352943</v>
      </c>
      <c r="M4" s="35">
        <f>COUNTIF(Vertices[Closeness Centrality],"&gt;= "&amp;L4)-COUNTIF(Vertices[Closeness Centrality],"&gt;="&amp;L5)</f>
        <v>0</v>
      </c>
      <c r="N4" s="34">
        <f t="shared" si="6"/>
        <v>0.02229764705882353</v>
      </c>
      <c r="O4" s="35">
        <f>COUNTIF(Vertices[Eigenvector Centrality],"&gt;= "&amp;N4)-COUNTIF(Vertices[Eigenvector Centrality],"&gt;="&amp;N5)</f>
        <v>0</v>
      </c>
      <c r="P4" s="34">
        <f t="shared" si="7"/>
        <v>0.0005407058823529412</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0.4411764705882353</v>
      </c>
      <c r="G5" s="37">
        <f>COUNTIF(Vertices[In-Degree],"&gt;= "&amp;F5)-COUNTIF(Vertices[In-Degree],"&gt;="&amp;F6)</f>
        <v>0</v>
      </c>
      <c r="H5" s="36">
        <f t="shared" si="3"/>
        <v>0.7941176470588236</v>
      </c>
      <c r="I5" s="37">
        <f>COUNTIF(Vertices[Out-Degree],"&gt;= "&amp;H5)-COUNTIF(Vertices[Out-Degree],"&gt;="&amp;H6)</f>
        <v>91</v>
      </c>
      <c r="J5" s="36">
        <f t="shared" si="4"/>
        <v>9.176470588235293</v>
      </c>
      <c r="K5" s="37">
        <f>COUNTIF(Vertices[Betweenness Centrality],"&gt;= "&amp;J5)-COUNTIF(Vertices[Betweenness Centrality],"&gt;="&amp;J6)</f>
        <v>1</v>
      </c>
      <c r="L5" s="36">
        <f t="shared" si="5"/>
        <v>0.0038557058823529416</v>
      </c>
      <c r="M5" s="37">
        <f>COUNTIF(Vertices[Closeness Centrality],"&gt;= "&amp;L5)-COUNTIF(Vertices[Closeness Centrality],"&gt;="&amp;L6)</f>
        <v>82</v>
      </c>
      <c r="N5" s="36">
        <f t="shared" si="6"/>
        <v>0.03344647058823529</v>
      </c>
      <c r="O5" s="37">
        <f>COUNTIF(Vertices[Eigenvector Centrality],"&gt;= "&amp;N5)-COUNTIF(Vertices[Eigenvector Centrality],"&gt;="&amp;N6)</f>
        <v>0</v>
      </c>
      <c r="P5" s="36">
        <f t="shared" si="7"/>
        <v>0.0008110588235294118</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156</v>
      </c>
      <c r="D6" s="29">
        <f t="shared" si="1"/>
        <v>0</v>
      </c>
      <c r="E6">
        <f>COUNTIF(Vertices[Degree],"&gt;= "&amp;D6)-COUNTIF(Vertices[Degree],"&gt;="&amp;D7)</f>
        <v>0</v>
      </c>
      <c r="F6" s="34">
        <f t="shared" si="2"/>
        <v>0.5882352941176471</v>
      </c>
      <c r="G6" s="35">
        <f>COUNTIF(Vertices[In-Degree],"&gt;= "&amp;F6)-COUNTIF(Vertices[In-Degree],"&gt;="&amp;F7)</f>
        <v>0</v>
      </c>
      <c r="H6" s="34">
        <f t="shared" si="3"/>
        <v>1.0588235294117647</v>
      </c>
      <c r="I6" s="35">
        <f>COUNTIF(Vertices[Out-Degree],"&gt;= "&amp;H6)-COUNTIF(Vertices[Out-Degree],"&gt;="&amp;H7)</f>
        <v>0</v>
      </c>
      <c r="J6" s="34">
        <f t="shared" si="4"/>
        <v>12.235294117647058</v>
      </c>
      <c r="K6" s="35">
        <f>COUNTIF(Vertices[Betweenness Centrality],"&gt;= "&amp;J6)-COUNTIF(Vertices[Betweenness Centrality],"&gt;="&amp;J7)</f>
        <v>0</v>
      </c>
      <c r="L6" s="34">
        <f t="shared" si="5"/>
        <v>0.005140941176470589</v>
      </c>
      <c r="M6" s="35">
        <f>COUNTIF(Vertices[Closeness Centrality],"&gt;= "&amp;L6)-COUNTIF(Vertices[Closeness Centrality],"&gt;="&amp;L7)</f>
        <v>26</v>
      </c>
      <c r="N6" s="34">
        <f t="shared" si="6"/>
        <v>0.04459529411764706</v>
      </c>
      <c r="O6" s="35">
        <f>COUNTIF(Vertices[Eigenvector Centrality],"&gt;= "&amp;N6)-COUNTIF(Vertices[Eigenvector Centrality],"&gt;="&amp;N7)</f>
        <v>2</v>
      </c>
      <c r="P6" s="34">
        <f t="shared" si="7"/>
        <v>0.0010814117647058824</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31</v>
      </c>
      <c r="D7" s="29">
        <f t="shared" si="1"/>
        <v>0</v>
      </c>
      <c r="E7">
        <f>COUNTIF(Vertices[Degree],"&gt;= "&amp;D7)-COUNTIF(Vertices[Degree],"&gt;="&amp;D8)</f>
        <v>0</v>
      </c>
      <c r="F7" s="36">
        <f t="shared" si="2"/>
        <v>0.7352941176470589</v>
      </c>
      <c r="G7" s="37">
        <f>COUNTIF(Vertices[In-Degree],"&gt;= "&amp;F7)-COUNTIF(Vertices[In-Degree],"&gt;="&amp;F8)</f>
        <v>0</v>
      </c>
      <c r="H7" s="36">
        <f t="shared" si="3"/>
        <v>1.3235294117647058</v>
      </c>
      <c r="I7" s="37">
        <f>COUNTIF(Vertices[Out-Degree],"&gt;= "&amp;H7)-COUNTIF(Vertices[Out-Degree],"&gt;="&amp;H8)</f>
        <v>0</v>
      </c>
      <c r="J7" s="36">
        <f t="shared" si="4"/>
        <v>15.294117647058822</v>
      </c>
      <c r="K7" s="37">
        <f>COUNTIF(Vertices[Betweenness Centrality],"&gt;= "&amp;J7)-COUNTIF(Vertices[Betweenness Centrality],"&gt;="&amp;J8)</f>
        <v>0</v>
      </c>
      <c r="L7" s="36">
        <f t="shared" si="5"/>
        <v>0.0064261764705882355</v>
      </c>
      <c r="M7" s="37">
        <f>COUNTIF(Vertices[Closeness Centrality],"&gt;= "&amp;L7)-COUNTIF(Vertices[Closeness Centrality],"&gt;="&amp;L8)</f>
        <v>0</v>
      </c>
      <c r="N7" s="36">
        <f t="shared" si="6"/>
        <v>0.055744117647058826</v>
      </c>
      <c r="O7" s="37">
        <f>COUNTIF(Vertices[Eigenvector Centrality],"&gt;= "&amp;N7)-COUNTIF(Vertices[Eigenvector Centrality],"&gt;="&amp;N8)</f>
        <v>0</v>
      </c>
      <c r="P7" s="36">
        <f t="shared" si="7"/>
        <v>0.001351764705882353</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187</v>
      </c>
      <c r="D8" s="29">
        <f t="shared" si="1"/>
        <v>0</v>
      </c>
      <c r="E8">
        <f>COUNTIF(Vertices[Degree],"&gt;= "&amp;D8)-COUNTIF(Vertices[Degree],"&gt;="&amp;D9)</f>
        <v>0</v>
      </c>
      <c r="F8" s="34">
        <f t="shared" si="2"/>
        <v>0.8823529411764707</v>
      </c>
      <c r="G8" s="35">
        <f>COUNTIF(Vertices[In-Degree],"&gt;= "&amp;F8)-COUNTIF(Vertices[In-Degree],"&gt;="&amp;F9)</f>
        <v>135</v>
      </c>
      <c r="H8" s="34">
        <f t="shared" si="3"/>
        <v>1.588235294117647</v>
      </c>
      <c r="I8" s="35">
        <f>COUNTIF(Vertices[Out-Degree],"&gt;= "&amp;H8)-COUNTIF(Vertices[Out-Degree],"&gt;="&amp;H9)</f>
        <v>0</v>
      </c>
      <c r="J8" s="34">
        <f t="shared" si="4"/>
        <v>18.352941176470587</v>
      </c>
      <c r="K8" s="35">
        <f>COUNTIF(Vertices[Betweenness Centrality],"&gt;= "&amp;J8)-COUNTIF(Vertices[Betweenness Centrality],"&gt;="&amp;J9)</f>
        <v>2</v>
      </c>
      <c r="L8" s="34">
        <f t="shared" si="5"/>
        <v>0.007711411764705882</v>
      </c>
      <c r="M8" s="35">
        <f>COUNTIF(Vertices[Closeness Centrality],"&gt;= "&amp;L8)-COUNTIF(Vertices[Closeness Centrality],"&gt;="&amp;L9)</f>
        <v>9</v>
      </c>
      <c r="N8" s="34">
        <f t="shared" si="6"/>
        <v>0.06689294117647059</v>
      </c>
      <c r="O8" s="35">
        <f>COUNTIF(Vertices[Eigenvector Centrality],"&gt;= "&amp;N8)-COUNTIF(Vertices[Eigenvector Centrality],"&gt;="&amp;N9)</f>
        <v>0</v>
      </c>
      <c r="P8" s="34">
        <f t="shared" si="7"/>
        <v>0.0016221176470588238</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1.0294117647058825</v>
      </c>
      <c r="G9" s="37">
        <f>COUNTIF(Vertices[In-Degree],"&gt;= "&amp;F9)-COUNTIF(Vertices[In-Degree],"&gt;="&amp;F10)</f>
        <v>0</v>
      </c>
      <c r="H9" s="36">
        <f t="shared" si="3"/>
        <v>1.852941176470588</v>
      </c>
      <c r="I9" s="37">
        <f>COUNTIF(Vertices[Out-Degree],"&gt;= "&amp;H9)-COUNTIF(Vertices[Out-Degree],"&gt;="&amp;H10)</f>
        <v>15</v>
      </c>
      <c r="J9" s="36">
        <f t="shared" si="4"/>
        <v>21.41176470588235</v>
      </c>
      <c r="K9" s="37">
        <f>COUNTIF(Vertices[Betweenness Centrality],"&gt;= "&amp;J9)-COUNTIF(Vertices[Betweenness Centrality],"&gt;="&amp;J10)</f>
        <v>2</v>
      </c>
      <c r="L9" s="36">
        <f t="shared" si="5"/>
        <v>0.00899664705882353</v>
      </c>
      <c r="M9" s="37">
        <f>COUNTIF(Vertices[Closeness Centrality],"&gt;= "&amp;L9)-COUNTIF(Vertices[Closeness Centrality],"&gt;="&amp;L10)</f>
        <v>13</v>
      </c>
      <c r="N9" s="36">
        <f t="shared" si="6"/>
        <v>0.07804176470588235</v>
      </c>
      <c r="O9" s="37">
        <f>COUNTIF(Vertices[Eigenvector Centrality],"&gt;= "&amp;N9)-COUNTIF(Vertices[Eigenvector Centrality],"&gt;="&amp;N10)</f>
        <v>0</v>
      </c>
      <c r="P9" s="36">
        <f t="shared" si="7"/>
        <v>0.0018924705882352945</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10950</v>
      </c>
      <c r="B10" s="31">
        <v>6</v>
      </c>
      <c r="D10" s="29">
        <f t="shared" si="1"/>
        <v>0</v>
      </c>
      <c r="E10">
        <f>COUNTIF(Vertices[Degree],"&gt;= "&amp;D10)-COUNTIF(Vertices[Degree],"&gt;="&amp;D11)</f>
        <v>0</v>
      </c>
      <c r="F10" s="34">
        <f t="shared" si="2"/>
        <v>1.1764705882352942</v>
      </c>
      <c r="G10" s="35">
        <f>COUNTIF(Vertices[In-Degree],"&gt;= "&amp;F10)-COUNTIF(Vertices[In-Degree],"&gt;="&amp;F11)</f>
        <v>0</v>
      </c>
      <c r="H10" s="34">
        <f t="shared" si="3"/>
        <v>2.1176470588235294</v>
      </c>
      <c r="I10" s="35">
        <f>COUNTIF(Vertices[Out-Degree],"&gt;= "&amp;H10)-COUNTIF(Vertices[Out-Degree],"&gt;="&amp;H11)</f>
        <v>0</v>
      </c>
      <c r="J10" s="34">
        <f t="shared" si="4"/>
        <v>24.470588235294116</v>
      </c>
      <c r="K10" s="35">
        <f>COUNTIF(Vertices[Betweenness Centrality],"&gt;= "&amp;J10)-COUNTIF(Vertices[Betweenness Centrality],"&gt;="&amp;J11)</f>
        <v>0</v>
      </c>
      <c r="L10" s="34">
        <f t="shared" si="5"/>
        <v>0.010281882352941177</v>
      </c>
      <c r="M10" s="35">
        <f>COUNTIF(Vertices[Closeness Centrality],"&gt;= "&amp;L10)-COUNTIF(Vertices[Closeness Centrality],"&gt;="&amp;L11)</f>
        <v>5</v>
      </c>
      <c r="N10" s="34">
        <f t="shared" si="6"/>
        <v>0.08919058823529412</v>
      </c>
      <c r="O10" s="35">
        <f>COUNTIF(Vertices[Eigenvector Centrality],"&gt;= "&amp;N10)-COUNTIF(Vertices[Eigenvector Centrality],"&gt;="&amp;N11)</f>
        <v>0</v>
      </c>
      <c r="P10" s="34">
        <f t="shared" si="7"/>
        <v>0.002162823529411765</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1.3235294117647058</v>
      </c>
      <c r="G11" s="37">
        <f>COUNTIF(Vertices[In-Degree],"&gt;= "&amp;F11)-COUNTIF(Vertices[In-Degree],"&gt;="&amp;F12)</f>
        <v>0</v>
      </c>
      <c r="H11" s="36">
        <f t="shared" si="3"/>
        <v>2.3823529411764706</v>
      </c>
      <c r="I11" s="37">
        <f>COUNTIF(Vertices[Out-Degree],"&gt;= "&amp;H11)-COUNTIF(Vertices[Out-Degree],"&gt;="&amp;H12)</f>
        <v>0</v>
      </c>
      <c r="J11" s="36">
        <f t="shared" si="4"/>
        <v>27.52941176470588</v>
      </c>
      <c r="K11" s="37">
        <f>COUNTIF(Vertices[Betweenness Centrality],"&gt;= "&amp;J11)-COUNTIF(Vertices[Betweenness Centrality],"&gt;="&amp;J12)</f>
        <v>1</v>
      </c>
      <c r="L11" s="36">
        <f t="shared" si="5"/>
        <v>0.011567117647058825</v>
      </c>
      <c r="M11" s="37">
        <f>COUNTIF(Vertices[Closeness Centrality],"&gt;= "&amp;L11)-COUNTIF(Vertices[Closeness Centrality],"&gt;="&amp;L12)</f>
        <v>0</v>
      </c>
      <c r="N11" s="36">
        <f t="shared" si="6"/>
        <v>0.10033941176470589</v>
      </c>
      <c r="O11" s="37">
        <f>COUNTIF(Vertices[Eigenvector Centrality],"&gt;= "&amp;N11)-COUNTIF(Vertices[Eigenvector Centrality],"&gt;="&amp;N12)</f>
        <v>0</v>
      </c>
      <c r="P11" s="36">
        <f t="shared" si="7"/>
        <v>0.002433176470588236</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438</v>
      </c>
      <c r="B12" s="31">
        <v>66</v>
      </c>
      <c r="D12" s="29">
        <f t="shared" si="1"/>
        <v>0</v>
      </c>
      <c r="E12">
        <f>COUNTIF(Vertices[Degree],"&gt;= "&amp;D12)-COUNTIF(Vertices[Degree],"&gt;="&amp;D13)</f>
        <v>0</v>
      </c>
      <c r="F12" s="34">
        <f t="shared" si="2"/>
        <v>1.4705882352941175</v>
      </c>
      <c r="G12" s="35">
        <f>COUNTIF(Vertices[In-Degree],"&gt;= "&amp;F12)-COUNTIF(Vertices[In-Degree],"&gt;="&amp;F13)</f>
        <v>0</v>
      </c>
      <c r="H12" s="34">
        <f t="shared" si="3"/>
        <v>2.6470588235294117</v>
      </c>
      <c r="I12" s="35">
        <f>COUNTIF(Vertices[Out-Degree],"&gt;= "&amp;H12)-COUNTIF(Vertices[Out-Degree],"&gt;="&amp;H13)</f>
        <v>0</v>
      </c>
      <c r="J12" s="34">
        <f t="shared" si="4"/>
        <v>30.588235294117645</v>
      </c>
      <c r="K12" s="35">
        <f>COUNTIF(Vertices[Betweenness Centrality],"&gt;= "&amp;J12)-COUNTIF(Vertices[Betweenness Centrality],"&gt;="&amp;J13)</f>
        <v>0</v>
      </c>
      <c r="L12" s="34">
        <f t="shared" si="5"/>
        <v>0.012852352941176473</v>
      </c>
      <c r="M12" s="35">
        <f>COUNTIF(Vertices[Closeness Centrality],"&gt;= "&amp;L12)-COUNTIF(Vertices[Closeness Centrality],"&gt;="&amp;L13)</f>
        <v>15</v>
      </c>
      <c r="N12" s="34">
        <f t="shared" si="6"/>
        <v>0.11148823529411765</v>
      </c>
      <c r="O12" s="35">
        <f>COUNTIF(Vertices[Eigenvector Centrality],"&gt;= "&amp;N12)-COUNTIF(Vertices[Eigenvector Centrality],"&gt;="&amp;N13)</f>
        <v>0</v>
      </c>
      <c r="P12" s="34">
        <f t="shared" si="7"/>
        <v>0.0027035294117647066</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437</v>
      </c>
      <c r="B13" s="31">
        <v>45</v>
      </c>
      <c r="D13" s="29">
        <f t="shared" si="1"/>
        <v>0</v>
      </c>
      <c r="E13">
        <f>COUNTIF(Vertices[Degree],"&gt;= "&amp;D13)-COUNTIF(Vertices[Degree],"&gt;="&amp;D14)</f>
        <v>0</v>
      </c>
      <c r="F13" s="36">
        <f t="shared" si="2"/>
        <v>1.6176470588235292</v>
      </c>
      <c r="G13" s="37">
        <f>COUNTIF(Vertices[In-Degree],"&gt;= "&amp;F13)-COUNTIF(Vertices[In-Degree],"&gt;="&amp;F14)</f>
        <v>0</v>
      </c>
      <c r="H13" s="36">
        <f t="shared" si="3"/>
        <v>2.911764705882353</v>
      </c>
      <c r="I13" s="37">
        <f>COUNTIF(Vertices[Out-Degree],"&gt;= "&amp;H13)-COUNTIF(Vertices[Out-Degree],"&gt;="&amp;H14)</f>
        <v>6</v>
      </c>
      <c r="J13" s="36">
        <f t="shared" si="4"/>
        <v>33.647058823529406</v>
      </c>
      <c r="K13" s="37">
        <f>COUNTIF(Vertices[Betweenness Centrality],"&gt;= "&amp;J13)-COUNTIF(Vertices[Betweenness Centrality],"&gt;="&amp;J14)</f>
        <v>0</v>
      </c>
      <c r="L13" s="36">
        <f t="shared" si="5"/>
        <v>0.01413758823529412</v>
      </c>
      <c r="M13" s="37">
        <f>COUNTIF(Vertices[Closeness Centrality],"&gt;= "&amp;L13)-COUNTIF(Vertices[Closeness Centrality],"&gt;="&amp;L14)</f>
        <v>6</v>
      </c>
      <c r="N13" s="36">
        <f t="shared" si="6"/>
        <v>0.12263705882352942</v>
      </c>
      <c r="O13" s="37">
        <f>COUNTIF(Vertices[Eigenvector Centrality],"&gt;= "&amp;N13)-COUNTIF(Vertices[Eigenvector Centrality],"&gt;="&amp;N14)</f>
        <v>0</v>
      </c>
      <c r="P13" s="36">
        <f t="shared" si="7"/>
        <v>0.0029738823529411773</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439</v>
      </c>
      <c r="B14" s="31">
        <v>15</v>
      </c>
      <c r="D14" s="29">
        <f t="shared" si="1"/>
        <v>0</v>
      </c>
      <c r="E14">
        <f>COUNTIF(Vertices[Degree],"&gt;= "&amp;D14)-COUNTIF(Vertices[Degree],"&gt;="&amp;D15)</f>
        <v>0</v>
      </c>
      <c r="F14" s="34">
        <f t="shared" si="2"/>
        <v>1.764705882352941</v>
      </c>
      <c r="G14" s="35">
        <f>COUNTIF(Vertices[In-Degree],"&gt;= "&amp;F14)-COUNTIF(Vertices[In-Degree],"&gt;="&amp;F15)</f>
        <v>0</v>
      </c>
      <c r="H14" s="34">
        <f t="shared" si="3"/>
        <v>3.176470588235294</v>
      </c>
      <c r="I14" s="35">
        <f>COUNTIF(Vertices[Out-Degree],"&gt;= "&amp;H14)-COUNTIF(Vertices[Out-Degree],"&gt;="&amp;H15)</f>
        <v>0</v>
      </c>
      <c r="J14" s="34">
        <f t="shared" si="4"/>
        <v>36.705882352941174</v>
      </c>
      <c r="K14" s="35">
        <f>COUNTIF(Vertices[Betweenness Centrality],"&gt;= "&amp;J14)-COUNTIF(Vertices[Betweenness Centrality],"&gt;="&amp;J15)</f>
        <v>1</v>
      </c>
      <c r="L14" s="34">
        <f t="shared" si="5"/>
        <v>0.015422823529411768</v>
      </c>
      <c r="M14" s="35">
        <f>COUNTIF(Vertices[Closeness Centrality],"&gt;= "&amp;L14)-COUNTIF(Vertices[Closeness Centrality],"&gt;="&amp;L15)</f>
        <v>1</v>
      </c>
      <c r="N14" s="34">
        <f t="shared" si="6"/>
        <v>0.13378588235294117</v>
      </c>
      <c r="O14" s="35">
        <f>COUNTIF(Vertices[Eigenvector Centrality],"&gt;= "&amp;N14)-COUNTIF(Vertices[Eigenvector Centrality],"&gt;="&amp;N15)</f>
        <v>0</v>
      </c>
      <c r="P14" s="34">
        <f t="shared" si="7"/>
        <v>0.003244235294117648</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440</v>
      </c>
      <c r="B15" s="31">
        <v>8</v>
      </c>
      <c r="D15" s="29">
        <f t="shared" si="1"/>
        <v>0</v>
      </c>
      <c r="E15">
        <f>COUNTIF(Vertices[Degree],"&gt;= "&amp;D15)-COUNTIF(Vertices[Degree],"&gt;="&amp;D16)</f>
        <v>0</v>
      </c>
      <c r="F15" s="36">
        <f t="shared" si="2"/>
        <v>1.9117647058823526</v>
      </c>
      <c r="G15" s="37">
        <f>COUNTIF(Vertices[In-Degree],"&gt;= "&amp;F15)-COUNTIF(Vertices[In-Degree],"&gt;="&amp;F16)</f>
        <v>11</v>
      </c>
      <c r="H15" s="36">
        <f t="shared" si="3"/>
        <v>3.441176470588235</v>
      </c>
      <c r="I15" s="37">
        <f>COUNTIF(Vertices[Out-Degree],"&gt;= "&amp;H15)-COUNTIF(Vertices[Out-Degree],"&gt;="&amp;H16)</f>
        <v>0</v>
      </c>
      <c r="J15" s="36">
        <f t="shared" si="4"/>
        <v>39.76470588235294</v>
      </c>
      <c r="K15" s="37">
        <f>COUNTIF(Vertices[Betweenness Centrality],"&gt;= "&amp;J15)-COUNTIF(Vertices[Betweenness Centrality],"&gt;="&amp;J16)</f>
        <v>1</v>
      </c>
      <c r="L15" s="36">
        <f t="shared" si="5"/>
        <v>0.016708058823529416</v>
      </c>
      <c r="M15" s="37">
        <f>COUNTIF(Vertices[Closeness Centrality],"&gt;= "&amp;L15)-COUNTIF(Vertices[Closeness Centrality],"&gt;="&amp;L16)</f>
        <v>5</v>
      </c>
      <c r="N15" s="36">
        <f t="shared" si="6"/>
        <v>0.14493470588235294</v>
      </c>
      <c r="O15" s="37">
        <f>COUNTIF(Vertices[Eigenvector Centrality],"&gt;= "&amp;N15)-COUNTIF(Vertices[Eigenvector Centrality],"&gt;="&amp;N16)</f>
        <v>0</v>
      </c>
      <c r="P15" s="36">
        <f t="shared" si="7"/>
        <v>0.0035145882352941187</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178</v>
      </c>
      <c r="B16" s="31">
        <v>52</v>
      </c>
      <c r="D16" s="29">
        <f t="shared" si="1"/>
        <v>0</v>
      </c>
      <c r="E16">
        <f>COUNTIF(Vertices[Degree],"&gt;= "&amp;D16)-COUNTIF(Vertices[Degree],"&gt;="&amp;D17)</f>
        <v>0</v>
      </c>
      <c r="F16" s="34">
        <f t="shared" si="2"/>
        <v>2.0588235294117645</v>
      </c>
      <c r="G16" s="35">
        <f>COUNTIF(Vertices[In-Degree],"&gt;= "&amp;F16)-COUNTIF(Vertices[In-Degree],"&gt;="&amp;F17)</f>
        <v>0</v>
      </c>
      <c r="H16" s="34">
        <f t="shared" si="3"/>
        <v>3.705882352941176</v>
      </c>
      <c r="I16" s="35">
        <f>COUNTIF(Vertices[Out-Degree],"&gt;= "&amp;H16)-COUNTIF(Vertices[Out-Degree],"&gt;="&amp;H17)</f>
        <v>0</v>
      </c>
      <c r="J16" s="34">
        <f t="shared" si="4"/>
        <v>42.82352941176471</v>
      </c>
      <c r="K16" s="35">
        <f>COUNTIF(Vertices[Betweenness Centrality],"&gt;= "&amp;J16)-COUNTIF(Vertices[Betweenness Centrality],"&gt;="&amp;J17)</f>
        <v>0</v>
      </c>
      <c r="L16" s="34">
        <f t="shared" si="5"/>
        <v>0.017993294117647062</v>
      </c>
      <c r="M16" s="35">
        <f>COUNTIF(Vertices[Closeness Centrality],"&gt;= "&amp;L16)-COUNTIF(Vertices[Closeness Centrality],"&gt;="&amp;L17)</f>
        <v>2</v>
      </c>
      <c r="N16" s="34">
        <f t="shared" si="6"/>
        <v>0.1560835294117647</v>
      </c>
      <c r="O16" s="35">
        <f>COUNTIF(Vertices[Eigenvector Centrality],"&gt;= "&amp;N16)-COUNTIF(Vertices[Eigenvector Centrality],"&gt;="&amp;N17)</f>
        <v>0</v>
      </c>
      <c r="P16" s="34">
        <f t="shared" si="7"/>
        <v>0.0037849411764705894</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441</v>
      </c>
      <c r="B17" s="31">
        <v>1</v>
      </c>
      <c r="D17" s="29">
        <f t="shared" si="1"/>
        <v>0</v>
      </c>
      <c r="E17">
        <f>COUNTIF(Vertices[Degree],"&gt;= "&amp;D17)-COUNTIF(Vertices[Degree],"&gt;="&amp;D18)</f>
        <v>0</v>
      </c>
      <c r="F17" s="36">
        <f t="shared" si="2"/>
        <v>2.205882352941176</v>
      </c>
      <c r="G17" s="37">
        <f>COUNTIF(Vertices[In-Degree],"&gt;= "&amp;F17)-COUNTIF(Vertices[In-Degree],"&gt;="&amp;F18)</f>
        <v>0</v>
      </c>
      <c r="H17" s="36">
        <f t="shared" si="3"/>
        <v>3.9705882352941173</v>
      </c>
      <c r="I17" s="37">
        <f>COUNTIF(Vertices[Out-Degree],"&gt;= "&amp;H17)-COUNTIF(Vertices[Out-Degree],"&gt;="&amp;H18)</f>
        <v>1</v>
      </c>
      <c r="J17" s="36">
        <f t="shared" si="4"/>
        <v>45.88235294117648</v>
      </c>
      <c r="K17" s="37">
        <f>COUNTIF(Vertices[Betweenness Centrality],"&gt;= "&amp;J17)-COUNTIF(Vertices[Betweenness Centrality],"&gt;="&amp;J18)</f>
        <v>0</v>
      </c>
      <c r="L17" s="36">
        <f t="shared" si="5"/>
        <v>0.019278529411764708</v>
      </c>
      <c r="M17" s="37">
        <f>COUNTIF(Vertices[Closeness Centrality],"&gt;= "&amp;L17)-COUNTIF(Vertices[Closeness Centrality],"&gt;="&amp;L18)</f>
        <v>2</v>
      </c>
      <c r="N17" s="36">
        <f t="shared" si="6"/>
        <v>0.16723235294117647</v>
      </c>
      <c r="O17" s="37">
        <f>COUNTIF(Vertices[Eigenvector Centrality],"&gt;= "&amp;N17)-COUNTIF(Vertices[Eigenvector Centrality],"&gt;="&amp;N18)</f>
        <v>0</v>
      </c>
      <c r="P17" s="36">
        <f t="shared" si="7"/>
        <v>0.00405529411764706</v>
      </c>
      <c r="Q17" s="37">
        <f>COUNTIF(Vertices[PageRank],"&gt;= "&amp;P17)-COUNTIF(Vertices[PageRank],"&gt;="&amp;P18)</f>
        <v>49</v>
      </c>
      <c r="R17" s="36">
        <f t="shared" si="8"/>
        <v>0</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2.352941176470588</v>
      </c>
      <c r="G18" s="35">
        <f>COUNTIF(Vertices[In-Degree],"&gt;= "&amp;F18)-COUNTIF(Vertices[In-Degree],"&gt;="&amp;F19)</f>
        <v>0</v>
      </c>
      <c r="H18" s="34">
        <f t="shared" si="3"/>
        <v>4.235294117647059</v>
      </c>
      <c r="I18" s="35">
        <f>COUNTIF(Vertices[Out-Degree],"&gt;= "&amp;H18)-COUNTIF(Vertices[Out-Degree],"&gt;="&amp;H19)</f>
        <v>0</v>
      </c>
      <c r="J18" s="34">
        <f t="shared" si="4"/>
        <v>48.941176470588246</v>
      </c>
      <c r="K18" s="35">
        <f>COUNTIF(Vertices[Betweenness Centrality],"&gt;= "&amp;J18)-COUNTIF(Vertices[Betweenness Centrality],"&gt;="&amp;J19)</f>
        <v>0</v>
      </c>
      <c r="L18" s="34">
        <f t="shared" si="5"/>
        <v>0.020563764705882354</v>
      </c>
      <c r="M18" s="35">
        <f>COUNTIF(Vertices[Closeness Centrality],"&gt;= "&amp;L18)-COUNTIF(Vertices[Closeness Centrality],"&gt;="&amp;L19)</f>
        <v>1</v>
      </c>
      <c r="N18" s="34">
        <f t="shared" si="6"/>
        <v>0.17838117647058824</v>
      </c>
      <c r="O18" s="35">
        <f>COUNTIF(Vertices[Eigenvector Centrality],"&gt;= "&amp;N18)-COUNTIF(Vertices[Eigenvector Centrality],"&gt;="&amp;N19)</f>
        <v>0</v>
      </c>
      <c r="P18" s="34">
        <f t="shared" si="7"/>
        <v>0.00432564705882353</v>
      </c>
      <c r="Q18" s="35">
        <f>COUNTIF(Vertices[PageRank],"&gt;= "&amp;P18)-COUNTIF(Vertices[PageRank],"&gt;="&amp;P19)</f>
        <v>34</v>
      </c>
      <c r="R18" s="34">
        <f t="shared" si="8"/>
        <v>0</v>
      </c>
      <c r="S18" s="40">
        <f>COUNTIF(Vertices[Clustering Coefficient],"&gt;= "&amp;R18)-COUNTIF(Vertices[Clustering Coefficient],"&gt;="&amp;R19)</f>
        <v>0</v>
      </c>
      <c r="T18" s="34" t="e">
        <f ca="1" t="shared" si="9"/>
        <v>#REF!</v>
      </c>
      <c r="U18" s="35" t="e">
        <f ca="1" t="shared" si="0"/>
        <v>#REF!</v>
      </c>
    </row>
    <row r="19" spans="1:21" ht="15">
      <c r="A19" s="31" t="s">
        <v>151</v>
      </c>
      <c r="B19" s="31">
        <v>61</v>
      </c>
      <c r="D19" s="29">
        <f t="shared" si="1"/>
        <v>0</v>
      </c>
      <c r="E19">
        <f>COUNTIF(Vertices[Degree],"&gt;= "&amp;D19)-COUNTIF(Vertices[Degree],"&gt;="&amp;D20)</f>
        <v>0</v>
      </c>
      <c r="F19" s="36">
        <f t="shared" si="2"/>
        <v>2.4999999999999996</v>
      </c>
      <c r="G19" s="37">
        <f>COUNTIF(Vertices[In-Degree],"&gt;= "&amp;F19)-COUNTIF(Vertices[In-Degree],"&gt;="&amp;F20)</f>
        <v>0</v>
      </c>
      <c r="H19" s="36">
        <f t="shared" si="3"/>
        <v>4.5</v>
      </c>
      <c r="I19" s="37">
        <f>COUNTIF(Vertices[Out-Degree],"&gt;= "&amp;H19)-COUNTIF(Vertices[Out-Degree],"&gt;="&amp;H20)</f>
        <v>0</v>
      </c>
      <c r="J19" s="36">
        <f t="shared" si="4"/>
        <v>52.000000000000014</v>
      </c>
      <c r="K19" s="37">
        <f>COUNTIF(Vertices[Betweenness Centrality],"&gt;= "&amp;J19)-COUNTIF(Vertices[Betweenness Centrality],"&gt;="&amp;J20)</f>
        <v>1</v>
      </c>
      <c r="L19" s="36">
        <f t="shared" si="5"/>
        <v>0.021849</v>
      </c>
      <c r="M19" s="37">
        <f>COUNTIF(Vertices[Closeness Centrality],"&gt;= "&amp;L19)-COUNTIF(Vertices[Closeness Centrality],"&gt;="&amp;L20)</f>
        <v>0</v>
      </c>
      <c r="N19" s="36">
        <f t="shared" si="6"/>
        <v>0.18953</v>
      </c>
      <c r="O19" s="37">
        <f>COUNTIF(Vertices[Eigenvector Centrality],"&gt;= "&amp;N19)-COUNTIF(Vertices[Eigenvector Centrality],"&gt;="&amp;N20)</f>
        <v>0</v>
      </c>
      <c r="P19" s="36">
        <f t="shared" si="7"/>
        <v>0.004596000000000001</v>
      </c>
      <c r="Q19" s="37">
        <f>COUNTIF(Vertices[PageRank],"&gt;= "&amp;P19)-COUNTIF(Vertices[PageRank],"&gt;="&amp;P20)</f>
        <v>95</v>
      </c>
      <c r="R19" s="36">
        <f t="shared" si="8"/>
        <v>0</v>
      </c>
      <c r="S19" s="41">
        <f>COUNTIF(Vertices[Clustering Coefficient],"&gt;= "&amp;R19)-COUNTIF(Vertices[Clustering Coefficient],"&gt;="&amp;R20)</f>
        <v>0</v>
      </c>
      <c r="T19" s="36" t="e">
        <f ca="1" t="shared" si="9"/>
        <v>#REF!</v>
      </c>
      <c r="U19" s="37" t="e">
        <f ca="1" t="shared" si="0"/>
        <v>#REF!</v>
      </c>
    </row>
    <row r="20" spans="1:21" ht="15">
      <c r="A20" s="113"/>
      <c r="B20" s="113"/>
      <c r="D20" s="29">
        <f t="shared" si="1"/>
        <v>0</v>
      </c>
      <c r="E20">
        <f>COUNTIF(Vertices[Degree],"&gt;= "&amp;D20)-COUNTIF(Vertices[Degree],"&gt;="&amp;D21)</f>
        <v>0</v>
      </c>
      <c r="F20" s="34">
        <f t="shared" si="2"/>
        <v>2.6470588235294112</v>
      </c>
      <c r="G20" s="35">
        <f>COUNTIF(Vertices[In-Degree],"&gt;= "&amp;F20)-COUNTIF(Vertices[In-Degree],"&gt;="&amp;F21)</f>
        <v>0</v>
      </c>
      <c r="H20" s="34">
        <f t="shared" si="3"/>
        <v>4.764705882352941</v>
      </c>
      <c r="I20" s="35">
        <f>COUNTIF(Vertices[Out-Degree],"&gt;= "&amp;H20)-COUNTIF(Vertices[Out-Degree],"&gt;="&amp;H21)</f>
        <v>2</v>
      </c>
      <c r="J20" s="34">
        <f t="shared" si="4"/>
        <v>55.05882352941178</v>
      </c>
      <c r="K20" s="35">
        <f>COUNTIF(Vertices[Betweenness Centrality],"&gt;= "&amp;J20)-COUNTIF(Vertices[Betweenness Centrality],"&gt;="&amp;J21)</f>
        <v>0</v>
      </c>
      <c r="L20" s="34">
        <f t="shared" si="5"/>
        <v>0.023134235294117646</v>
      </c>
      <c r="M20" s="35">
        <f>COUNTIF(Vertices[Closeness Centrality],"&gt;= "&amp;L20)-COUNTIF(Vertices[Closeness Centrality],"&gt;="&amp;L21)</f>
        <v>4</v>
      </c>
      <c r="N20" s="34">
        <f t="shared" si="6"/>
        <v>0.20067882352941177</v>
      </c>
      <c r="O20" s="35">
        <f>COUNTIF(Vertices[Eigenvector Centrality],"&gt;= "&amp;N20)-COUNTIF(Vertices[Eigenvector Centrality],"&gt;="&amp;N21)</f>
        <v>0</v>
      </c>
      <c r="P20" s="34">
        <f t="shared" si="7"/>
        <v>0.004866352941176472</v>
      </c>
      <c r="Q20" s="35">
        <f>COUNTIF(Vertices[PageRank],"&gt;= "&amp;P20)-COUNTIF(Vertices[PageRank],"&gt;="&amp;P21)</f>
        <v>13</v>
      </c>
      <c r="R20" s="34">
        <f t="shared" si="8"/>
        <v>0</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2.794117647058823</v>
      </c>
      <c r="G21" s="37">
        <f>COUNTIF(Vertices[In-Degree],"&gt;= "&amp;F21)-COUNTIF(Vertices[In-Degree],"&gt;="&amp;F22)</f>
        <v>0</v>
      </c>
      <c r="H21" s="36">
        <f t="shared" si="3"/>
        <v>5.029411764705882</v>
      </c>
      <c r="I21" s="37">
        <f>COUNTIF(Vertices[Out-Degree],"&gt;= "&amp;H21)-COUNTIF(Vertices[Out-Degree],"&gt;="&amp;H22)</f>
        <v>0</v>
      </c>
      <c r="J21" s="36">
        <f t="shared" si="4"/>
        <v>58.11764705882355</v>
      </c>
      <c r="K21" s="37">
        <f>COUNTIF(Vertices[Betweenness Centrality],"&gt;= "&amp;J21)-COUNTIF(Vertices[Betweenness Centrality],"&gt;="&amp;J22)</f>
        <v>0</v>
      </c>
      <c r="L21" s="36">
        <f t="shared" si="5"/>
        <v>0.024419470588235292</v>
      </c>
      <c r="M21" s="37">
        <f>COUNTIF(Vertices[Closeness Centrality],"&gt;= "&amp;L21)-COUNTIF(Vertices[Closeness Centrality],"&gt;="&amp;L22)</f>
        <v>8</v>
      </c>
      <c r="N21" s="36">
        <f t="shared" si="6"/>
        <v>0.21182764705882354</v>
      </c>
      <c r="O21" s="37">
        <f>COUNTIF(Vertices[Eigenvector Centrality],"&gt;= "&amp;N21)-COUNTIF(Vertices[Eigenvector Centrality],"&gt;="&amp;N22)</f>
        <v>0</v>
      </c>
      <c r="P21" s="36">
        <f t="shared" si="7"/>
        <v>0.0051367058823529425</v>
      </c>
      <c r="Q21" s="37">
        <f>COUNTIF(Vertices[PageRank],"&gt;= "&amp;P21)-COUNTIF(Vertices[PageRank],"&gt;="&amp;P22)</f>
        <v>11</v>
      </c>
      <c r="R21" s="36">
        <f t="shared" si="8"/>
        <v>0</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2.9411764705882346</v>
      </c>
      <c r="G22" s="35">
        <f>COUNTIF(Vertices[In-Degree],"&gt;= "&amp;F22)-COUNTIF(Vertices[In-Degree],"&gt;="&amp;F23)</f>
        <v>2</v>
      </c>
      <c r="H22" s="34">
        <f t="shared" si="3"/>
        <v>5.294117647058823</v>
      </c>
      <c r="I22" s="35">
        <f>COUNTIF(Vertices[Out-Degree],"&gt;= "&amp;H22)-COUNTIF(Vertices[Out-Degree],"&gt;="&amp;H23)</f>
        <v>0</v>
      </c>
      <c r="J22" s="34">
        <f t="shared" si="4"/>
        <v>61.17647058823532</v>
      </c>
      <c r="K22" s="35">
        <f>COUNTIF(Vertices[Betweenness Centrality],"&gt;= "&amp;J22)-COUNTIF(Vertices[Betweenness Centrality],"&gt;="&amp;J23)</f>
        <v>1</v>
      </c>
      <c r="L22" s="34">
        <f t="shared" si="5"/>
        <v>0.02570470588235294</v>
      </c>
      <c r="M22" s="35">
        <f>COUNTIF(Vertices[Closeness Centrality],"&gt;= "&amp;L22)-COUNTIF(Vertices[Closeness Centrality],"&gt;="&amp;L23)</f>
        <v>0</v>
      </c>
      <c r="N22" s="34">
        <f t="shared" si="6"/>
        <v>0.2229764705882353</v>
      </c>
      <c r="O22" s="35">
        <f>COUNTIF(Vertices[Eigenvector Centrality],"&gt;= "&amp;N22)-COUNTIF(Vertices[Eigenvector Centrality],"&gt;="&amp;N23)</f>
        <v>0</v>
      </c>
      <c r="P22" s="34">
        <f t="shared" si="7"/>
        <v>0.005407058823529413</v>
      </c>
      <c r="Q22" s="35">
        <f>COUNTIF(Vertices[PageRank],"&gt;= "&amp;P22)-COUNTIF(Vertices[PageRank],"&gt;="&amp;P23)</f>
        <v>3</v>
      </c>
      <c r="R22" s="34">
        <f t="shared" si="8"/>
        <v>0</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3.0882352941176463</v>
      </c>
      <c r="G23" s="37">
        <f>COUNTIF(Vertices[In-Degree],"&gt;= "&amp;F23)-COUNTIF(Vertices[In-Degree],"&gt;="&amp;F24)</f>
        <v>0</v>
      </c>
      <c r="H23" s="36">
        <f t="shared" si="3"/>
        <v>5.5588235294117645</v>
      </c>
      <c r="I23" s="37">
        <f>COUNTIF(Vertices[Out-Degree],"&gt;= "&amp;H23)-COUNTIF(Vertices[Out-Degree],"&gt;="&amp;H24)</f>
        <v>0</v>
      </c>
      <c r="J23" s="36">
        <f t="shared" si="4"/>
        <v>64.23529411764709</v>
      </c>
      <c r="K23" s="37">
        <f>COUNTIF(Vertices[Betweenness Centrality],"&gt;= "&amp;J23)-COUNTIF(Vertices[Betweenness Centrality],"&gt;="&amp;J24)</f>
        <v>0</v>
      </c>
      <c r="L23" s="36">
        <f t="shared" si="5"/>
        <v>0.026989941176470585</v>
      </c>
      <c r="M23" s="37">
        <f>COUNTIF(Vertices[Closeness Centrality],"&gt;= "&amp;L23)-COUNTIF(Vertices[Closeness Centrality],"&gt;="&amp;L24)</f>
        <v>1</v>
      </c>
      <c r="N23" s="36">
        <f t="shared" si="6"/>
        <v>0.23412529411764707</v>
      </c>
      <c r="O23" s="37">
        <f>COUNTIF(Vertices[Eigenvector Centrality],"&gt;= "&amp;N23)-COUNTIF(Vertices[Eigenvector Centrality],"&gt;="&amp;N24)</f>
        <v>0</v>
      </c>
      <c r="P23" s="36">
        <f t="shared" si="7"/>
        <v>0.005677411764705884</v>
      </c>
      <c r="Q23" s="37">
        <f>COUNTIF(Vertices[PageRank],"&gt;= "&amp;P23)-COUNTIF(Vertices[PageRank],"&gt;="&amp;P24)</f>
        <v>3</v>
      </c>
      <c r="R23" s="36">
        <f t="shared" si="8"/>
        <v>0</v>
      </c>
      <c r="S23" s="41">
        <f>COUNTIF(Vertices[Clustering Coefficient],"&gt;= "&amp;R23)-COUNTIF(Vertices[Clustering Coefficient],"&gt;="&amp;R24)</f>
        <v>0</v>
      </c>
      <c r="T23" s="36" t="e">
        <f ca="1" t="shared" si="9"/>
        <v>#REF!</v>
      </c>
      <c r="U23" s="37" t="e">
        <f ca="1" t="shared" si="0"/>
        <v>#REF!</v>
      </c>
    </row>
    <row r="24" spans="1:21" ht="15">
      <c r="A24" s="31" t="s">
        <v>152</v>
      </c>
      <c r="B24" s="31">
        <v>99</v>
      </c>
      <c r="D24" s="29">
        <f t="shared" si="1"/>
        <v>0</v>
      </c>
      <c r="E24">
        <f>COUNTIF(Vertices[Degree],"&gt;= "&amp;D24)-COUNTIF(Vertices[Degree],"&gt;="&amp;D25)</f>
        <v>0</v>
      </c>
      <c r="F24" s="34">
        <f t="shared" si="2"/>
        <v>3.235294117647058</v>
      </c>
      <c r="G24" s="35">
        <f>COUNTIF(Vertices[In-Degree],"&gt;= "&amp;F24)-COUNTIF(Vertices[In-Degree],"&gt;="&amp;F25)</f>
        <v>0</v>
      </c>
      <c r="H24" s="34">
        <f t="shared" si="3"/>
        <v>5.823529411764706</v>
      </c>
      <c r="I24" s="35">
        <f>COUNTIF(Vertices[Out-Degree],"&gt;= "&amp;H24)-COUNTIF(Vertices[Out-Degree],"&gt;="&amp;H25)</f>
        <v>1</v>
      </c>
      <c r="J24" s="34">
        <f t="shared" si="4"/>
        <v>67.29411764705885</v>
      </c>
      <c r="K24" s="35">
        <f>COUNTIF(Vertices[Betweenness Centrality],"&gt;= "&amp;J24)-COUNTIF(Vertices[Betweenness Centrality],"&gt;="&amp;J25)</f>
        <v>0</v>
      </c>
      <c r="L24" s="34">
        <f t="shared" si="5"/>
        <v>0.02827517647058823</v>
      </c>
      <c r="M24" s="35">
        <f>COUNTIF(Vertices[Closeness Centrality],"&gt;= "&amp;L24)-COUNTIF(Vertices[Closeness Centrality],"&gt;="&amp;L25)</f>
        <v>0</v>
      </c>
      <c r="N24" s="34">
        <f t="shared" si="6"/>
        <v>0.24527411764705884</v>
      </c>
      <c r="O24" s="35">
        <f>COUNTIF(Vertices[Eigenvector Centrality],"&gt;= "&amp;N24)-COUNTIF(Vertices[Eigenvector Centrality],"&gt;="&amp;N25)</f>
        <v>0</v>
      </c>
      <c r="P24" s="34">
        <f t="shared" si="7"/>
        <v>0.005947764705882355</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153</v>
      </c>
      <c r="B25" s="31">
        <v>36</v>
      </c>
      <c r="D25" s="29">
        <f t="shared" si="1"/>
        <v>0</v>
      </c>
      <c r="E25">
        <f>COUNTIF(Vertices[Degree],"&gt;= "&amp;D25)-COUNTIF(Vertices[Degree],"&gt;="&amp;D26)</f>
        <v>0</v>
      </c>
      <c r="F25" s="36">
        <f t="shared" si="2"/>
        <v>3.3823529411764697</v>
      </c>
      <c r="G25" s="37">
        <f>COUNTIF(Vertices[In-Degree],"&gt;= "&amp;F25)-COUNTIF(Vertices[In-Degree],"&gt;="&amp;F26)</f>
        <v>0</v>
      </c>
      <c r="H25" s="36">
        <f t="shared" si="3"/>
        <v>6.088235294117647</v>
      </c>
      <c r="I25" s="37">
        <f>COUNTIF(Vertices[Out-Degree],"&gt;= "&amp;H25)-COUNTIF(Vertices[Out-Degree],"&gt;="&amp;H26)</f>
        <v>0</v>
      </c>
      <c r="J25" s="36">
        <f t="shared" si="4"/>
        <v>70.35294117647062</v>
      </c>
      <c r="K25" s="37">
        <f>COUNTIF(Vertices[Betweenness Centrality],"&gt;= "&amp;J25)-COUNTIF(Vertices[Betweenness Centrality],"&gt;="&amp;J26)</f>
        <v>0</v>
      </c>
      <c r="L25" s="36">
        <f t="shared" si="5"/>
        <v>0.029560411764705877</v>
      </c>
      <c r="M25" s="37">
        <f>COUNTIF(Vertices[Closeness Centrality],"&gt;= "&amp;L25)-COUNTIF(Vertices[Closeness Centrality],"&gt;="&amp;L26)</f>
        <v>1</v>
      </c>
      <c r="N25" s="36">
        <f t="shared" si="6"/>
        <v>0.2564229411764706</v>
      </c>
      <c r="O25" s="37">
        <f>COUNTIF(Vertices[Eigenvector Centrality],"&gt;= "&amp;N25)-COUNTIF(Vertices[Eigenvector Centrality],"&gt;="&amp;N26)</f>
        <v>0</v>
      </c>
      <c r="P25" s="36">
        <f t="shared" si="7"/>
        <v>0.006218117647058825</v>
      </c>
      <c r="Q25" s="37">
        <f>COUNTIF(Vertices[PageRank],"&gt;= "&amp;P25)-COUNTIF(Vertices[PageRank],"&gt;="&amp;P26)</f>
        <v>1</v>
      </c>
      <c r="R25" s="36">
        <f t="shared" si="8"/>
        <v>0</v>
      </c>
      <c r="S25" s="41">
        <f>COUNTIF(Vertices[Clustering Coefficient],"&gt;= "&amp;R25)-COUNTIF(Vertices[Clustering Coefficient],"&gt;="&amp;R26)</f>
        <v>0</v>
      </c>
      <c r="T25" s="36" t="e">
        <f ca="1" t="shared" si="9"/>
        <v>#REF!</v>
      </c>
      <c r="U25" s="37" t="e">
        <f ca="1" t="shared" si="0"/>
        <v>#REF!</v>
      </c>
    </row>
    <row r="26" spans="1:21" ht="15">
      <c r="A26" s="31" t="s">
        <v>154</v>
      </c>
      <c r="B26" s="31">
        <v>13</v>
      </c>
      <c r="D26" s="29">
        <f t="shared" si="1"/>
        <v>0</v>
      </c>
      <c r="E26">
        <f>COUNTIF(Vertices[Degree],"&gt;= "&amp;D26)-COUNTIF(Vertices[Degree],"&gt;="&amp;D27)</f>
        <v>0</v>
      </c>
      <c r="F26" s="34">
        <f t="shared" si="2"/>
        <v>3.5294117647058814</v>
      </c>
      <c r="G26" s="35">
        <f>COUNTIF(Vertices[In-Degree],"&gt;= "&amp;F26)-COUNTIF(Vertices[In-Degree],"&gt;="&amp;F27)</f>
        <v>0</v>
      </c>
      <c r="H26" s="34">
        <f t="shared" si="3"/>
        <v>6.352941176470588</v>
      </c>
      <c r="I26" s="35">
        <f>COUNTIF(Vertices[Out-Degree],"&gt;= "&amp;H26)-COUNTIF(Vertices[Out-Degree],"&gt;="&amp;H27)</f>
        <v>0</v>
      </c>
      <c r="J26" s="34">
        <f t="shared" si="4"/>
        <v>73.41176470588239</v>
      </c>
      <c r="K26" s="35">
        <f>COUNTIF(Vertices[Betweenness Centrality],"&gt;= "&amp;J26)-COUNTIF(Vertices[Betweenness Centrality],"&gt;="&amp;J27)</f>
        <v>0</v>
      </c>
      <c r="L26" s="34">
        <f t="shared" si="5"/>
        <v>0.030845647058823523</v>
      </c>
      <c r="M26" s="35">
        <f>COUNTIF(Vertices[Closeness Centrality],"&gt;= "&amp;L26)-COUNTIF(Vertices[Closeness Centrality],"&gt;="&amp;L27)</f>
        <v>0</v>
      </c>
      <c r="N26" s="34">
        <f t="shared" si="6"/>
        <v>0.26757176470588234</v>
      </c>
      <c r="O26" s="35">
        <f>COUNTIF(Vertices[Eigenvector Centrality],"&gt;= "&amp;N26)-COUNTIF(Vertices[Eigenvector Centrality],"&gt;="&amp;N27)</f>
        <v>0</v>
      </c>
      <c r="P26" s="34">
        <f t="shared" si="7"/>
        <v>0.006488470588235296</v>
      </c>
      <c r="Q26" s="35">
        <f>COUNTIF(Vertices[PageRank],"&gt;= "&amp;P26)-COUNTIF(Vertices[PageRank],"&gt;="&amp;P27)</f>
        <v>1</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17</v>
      </c>
      <c r="D27" s="29">
        <f t="shared" si="1"/>
        <v>0</v>
      </c>
      <c r="E27">
        <f>COUNTIF(Vertices[Degree],"&gt;= "&amp;D27)-COUNTIF(Vertices[Degree],"&gt;="&amp;D28)</f>
        <v>0</v>
      </c>
      <c r="F27" s="36">
        <f t="shared" si="2"/>
        <v>3.676470588235293</v>
      </c>
      <c r="G27" s="37">
        <f>COUNTIF(Vertices[In-Degree],"&gt;= "&amp;F27)-COUNTIF(Vertices[In-Degree],"&gt;="&amp;F28)</f>
        <v>0</v>
      </c>
      <c r="H27" s="36">
        <f t="shared" si="3"/>
        <v>6.617647058823529</v>
      </c>
      <c r="I27" s="37">
        <f>COUNTIF(Vertices[Out-Degree],"&gt;= "&amp;H27)-COUNTIF(Vertices[Out-Degree],"&gt;="&amp;H28)</f>
        <v>0</v>
      </c>
      <c r="J27" s="36">
        <f t="shared" si="4"/>
        <v>76.47058823529416</v>
      </c>
      <c r="K27" s="37">
        <f>COUNTIF(Vertices[Betweenness Centrality],"&gt;= "&amp;J27)-COUNTIF(Vertices[Betweenness Centrality],"&gt;="&amp;J28)</f>
        <v>0</v>
      </c>
      <c r="L27" s="36">
        <f t="shared" si="5"/>
        <v>0.03213088235294117</v>
      </c>
      <c r="M27" s="37">
        <f>COUNTIF(Vertices[Closeness Centrality],"&gt;= "&amp;L27)-COUNTIF(Vertices[Closeness Centrality],"&gt;="&amp;L28)</f>
        <v>0</v>
      </c>
      <c r="N27" s="36">
        <f t="shared" si="6"/>
        <v>0.2787205882352941</v>
      </c>
      <c r="O27" s="37">
        <f>COUNTIF(Vertices[Eigenvector Centrality],"&gt;= "&amp;N27)-COUNTIF(Vertices[Eigenvector Centrality],"&gt;="&amp;N28)</f>
        <v>0</v>
      </c>
      <c r="P27" s="36">
        <f t="shared" si="7"/>
        <v>0.006758823529411767</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3.8235294117647047</v>
      </c>
      <c r="G28" s="35">
        <f>COUNTIF(Vertices[In-Degree],"&gt;= "&amp;F28)-COUNTIF(Vertices[In-Degree],"&gt;="&amp;F29)</f>
        <v>0</v>
      </c>
      <c r="H28" s="34">
        <f t="shared" si="3"/>
        <v>6.88235294117647</v>
      </c>
      <c r="I28" s="35">
        <f>COUNTIF(Vertices[Out-Degree],"&gt;= "&amp;H28)-COUNTIF(Vertices[Out-Degree],"&gt;="&amp;H29)</f>
        <v>0</v>
      </c>
      <c r="J28" s="34">
        <f t="shared" si="4"/>
        <v>79.52941176470593</v>
      </c>
      <c r="K28" s="35">
        <f>COUNTIF(Vertices[Betweenness Centrality],"&gt;= "&amp;J28)-COUNTIF(Vertices[Betweenness Centrality],"&gt;="&amp;J29)</f>
        <v>1</v>
      </c>
      <c r="L28" s="34">
        <f t="shared" si="5"/>
        <v>0.03341611764705882</v>
      </c>
      <c r="M28" s="35">
        <f>COUNTIF(Vertices[Closeness Centrality],"&gt;= "&amp;L28)-COUNTIF(Vertices[Closeness Centrality],"&gt;="&amp;L29)</f>
        <v>0</v>
      </c>
      <c r="N28" s="34">
        <f t="shared" si="6"/>
        <v>0.2898694117647059</v>
      </c>
      <c r="O28" s="35">
        <f>COUNTIF(Vertices[Eigenvector Centrality],"&gt;= "&amp;N28)-COUNTIF(Vertices[Eigenvector Centrality],"&gt;="&amp;N29)</f>
        <v>8</v>
      </c>
      <c r="P28" s="34">
        <f t="shared" si="7"/>
        <v>0.0070291764705882375</v>
      </c>
      <c r="Q28" s="35">
        <f>COUNTIF(Vertices[PageRank],"&gt;= "&amp;P28)-COUNTIF(Vertices[PageRank],"&gt;="&amp;P29)</f>
        <v>2</v>
      </c>
      <c r="R28" s="34">
        <f t="shared" si="8"/>
        <v>0</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3.9705882352941164</v>
      </c>
      <c r="G29" s="37">
        <f>COUNTIF(Vertices[In-Degree],"&gt;= "&amp;F29)-COUNTIF(Vertices[In-Degree],"&gt;="&amp;F30)</f>
        <v>0</v>
      </c>
      <c r="H29" s="36">
        <f t="shared" si="3"/>
        <v>7.147058823529411</v>
      </c>
      <c r="I29" s="37">
        <f>COUNTIF(Vertices[Out-Degree],"&gt;= "&amp;H29)-COUNTIF(Vertices[Out-Degree],"&gt;="&amp;H30)</f>
        <v>0</v>
      </c>
      <c r="J29" s="36">
        <f t="shared" si="4"/>
        <v>82.5882352941177</v>
      </c>
      <c r="K29" s="37">
        <f>COUNTIF(Vertices[Betweenness Centrality],"&gt;= "&amp;J29)-COUNTIF(Vertices[Betweenness Centrality],"&gt;="&amp;J30)</f>
        <v>0</v>
      </c>
      <c r="L29" s="36">
        <f t="shared" si="5"/>
        <v>0.03470135294117647</v>
      </c>
      <c r="M29" s="37">
        <f>COUNTIF(Vertices[Closeness Centrality],"&gt;= "&amp;L29)-COUNTIF(Vertices[Closeness Centrality],"&gt;="&amp;L30)</f>
        <v>0</v>
      </c>
      <c r="N29" s="36">
        <f t="shared" si="6"/>
        <v>0.30101823529411764</v>
      </c>
      <c r="O29" s="37">
        <f>COUNTIF(Vertices[Eigenvector Centrality],"&gt;= "&amp;N29)-COUNTIF(Vertices[Eigenvector Centrality],"&gt;="&amp;N30)</f>
        <v>0</v>
      </c>
      <c r="P29" s="36">
        <f t="shared" si="7"/>
        <v>0.007299529411764708</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157</v>
      </c>
      <c r="B30" s="31">
        <v>1.519512</v>
      </c>
      <c r="D30" s="29">
        <f t="shared" si="1"/>
        <v>0</v>
      </c>
      <c r="E30">
        <f>COUNTIF(Vertices[Degree],"&gt;= "&amp;D30)-COUNTIF(Vertices[Degree],"&gt;="&amp;D31)</f>
        <v>0</v>
      </c>
      <c r="F30" s="34">
        <f t="shared" si="2"/>
        <v>4.117647058823528</v>
      </c>
      <c r="G30" s="35">
        <f>COUNTIF(Vertices[In-Degree],"&gt;= "&amp;F30)-COUNTIF(Vertices[In-Degree],"&gt;="&amp;F31)</f>
        <v>0</v>
      </c>
      <c r="H30" s="34">
        <f t="shared" si="3"/>
        <v>7.411764705882352</v>
      </c>
      <c r="I30" s="35">
        <f>COUNTIF(Vertices[Out-Degree],"&gt;= "&amp;H30)-COUNTIF(Vertices[Out-Degree],"&gt;="&amp;H31)</f>
        <v>0</v>
      </c>
      <c r="J30" s="34">
        <f t="shared" si="4"/>
        <v>85.64705882352946</v>
      </c>
      <c r="K30" s="35">
        <f>COUNTIF(Vertices[Betweenness Centrality],"&gt;= "&amp;J30)-COUNTIF(Vertices[Betweenness Centrality],"&gt;="&amp;J31)</f>
        <v>1</v>
      </c>
      <c r="L30" s="34">
        <f t="shared" si="5"/>
        <v>0.03598658823529412</v>
      </c>
      <c r="M30" s="35">
        <f>COUNTIF(Vertices[Closeness Centrality],"&gt;= "&amp;L30)-COUNTIF(Vertices[Closeness Centrality],"&gt;="&amp;L31)</f>
        <v>0</v>
      </c>
      <c r="N30" s="34">
        <f t="shared" si="6"/>
        <v>0.3121670588235294</v>
      </c>
      <c r="O30" s="35">
        <f>COUNTIF(Vertices[Eigenvector Centrality],"&gt;= "&amp;N30)-COUNTIF(Vertices[Eigenvector Centrality],"&gt;="&amp;N31)</f>
        <v>0</v>
      </c>
      <c r="P30" s="34">
        <f t="shared" si="7"/>
        <v>0.007569882352941179</v>
      </c>
      <c r="Q30" s="35">
        <f>COUNTIF(Vertices[PageRank],"&gt;= "&amp;P30)-COUNTIF(Vertices[PageRank],"&gt;="&amp;P31)</f>
        <v>1</v>
      </c>
      <c r="R30" s="34">
        <f t="shared" si="8"/>
        <v>0</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4.26470588235294</v>
      </c>
      <c r="G31" s="37">
        <f>COUNTIF(Vertices[In-Degree],"&gt;= "&amp;F31)-COUNTIF(Vertices[In-Degree],"&gt;="&amp;F32)</f>
        <v>0</v>
      </c>
      <c r="H31" s="36">
        <f t="shared" si="3"/>
        <v>7.6764705882352935</v>
      </c>
      <c r="I31" s="37">
        <f>COUNTIF(Vertices[Out-Degree],"&gt;= "&amp;H31)-COUNTIF(Vertices[Out-Degree],"&gt;="&amp;H32)</f>
        <v>0</v>
      </c>
      <c r="J31" s="36">
        <f t="shared" si="4"/>
        <v>88.70588235294123</v>
      </c>
      <c r="K31" s="37">
        <f>COUNTIF(Vertices[Betweenness Centrality],"&gt;= "&amp;J31)-COUNTIF(Vertices[Betweenness Centrality],"&gt;="&amp;J32)</f>
        <v>0</v>
      </c>
      <c r="L31" s="36">
        <f t="shared" si="5"/>
        <v>0.03727182352941177</v>
      </c>
      <c r="M31" s="37">
        <f>COUNTIF(Vertices[Closeness Centrality],"&gt;= "&amp;L31)-COUNTIF(Vertices[Closeness Centrality],"&gt;="&amp;L32)</f>
        <v>0</v>
      </c>
      <c r="N31" s="36">
        <f t="shared" si="6"/>
        <v>0.3233158823529412</v>
      </c>
      <c r="O31" s="37">
        <f>COUNTIF(Vertices[Eigenvector Centrality],"&gt;= "&amp;N31)-COUNTIF(Vertices[Eigenvector Centrality],"&gt;="&amp;N32)</f>
        <v>0</v>
      </c>
      <c r="P31" s="36">
        <f t="shared" si="7"/>
        <v>0.00784023529411765</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158</v>
      </c>
      <c r="B32" s="31">
        <v>0.0025155371411660255</v>
      </c>
      <c r="D32" s="29">
        <f t="shared" si="1"/>
        <v>0</v>
      </c>
      <c r="E32">
        <f>COUNTIF(Vertices[Degree],"&gt;= "&amp;D32)-COUNTIF(Vertices[Degree],"&gt;="&amp;D33)</f>
        <v>0</v>
      </c>
      <c r="F32" s="34">
        <f t="shared" si="2"/>
        <v>4.411764705882352</v>
      </c>
      <c r="G32" s="35">
        <f>COUNTIF(Vertices[In-Degree],"&gt;= "&amp;F32)-COUNTIF(Vertices[In-Degree],"&gt;="&amp;F33)</f>
        <v>0</v>
      </c>
      <c r="H32" s="34">
        <f t="shared" si="3"/>
        <v>7.941176470588235</v>
      </c>
      <c r="I32" s="35">
        <f>COUNTIF(Vertices[Out-Degree],"&gt;= "&amp;H32)-COUNTIF(Vertices[Out-Degree],"&gt;="&amp;H33)</f>
        <v>0</v>
      </c>
      <c r="J32" s="34">
        <f t="shared" si="4"/>
        <v>91.764705882353</v>
      </c>
      <c r="K32" s="35">
        <f>COUNTIF(Vertices[Betweenness Centrality],"&gt;= "&amp;J32)-COUNTIF(Vertices[Betweenness Centrality],"&gt;="&amp;J33)</f>
        <v>0</v>
      </c>
      <c r="L32" s="34">
        <f t="shared" si="5"/>
        <v>0.038557058823529416</v>
      </c>
      <c r="M32" s="35">
        <f>COUNTIF(Vertices[Closeness Centrality],"&gt;= "&amp;L32)-COUNTIF(Vertices[Closeness Centrality],"&gt;="&amp;L33)</f>
        <v>0</v>
      </c>
      <c r="N32" s="34">
        <f t="shared" si="6"/>
        <v>0.33446470588235294</v>
      </c>
      <c r="O32" s="35">
        <f>COUNTIF(Vertices[Eigenvector Centrality],"&gt;= "&amp;N32)-COUNTIF(Vertices[Eigenvector Centrality],"&gt;="&amp;N33)</f>
        <v>0</v>
      </c>
      <c r="P32" s="34">
        <f t="shared" si="7"/>
        <v>0.00811058823529412</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10951</v>
      </c>
      <c r="B33" s="31">
        <v>0.74511</v>
      </c>
      <c r="D33" s="29">
        <f t="shared" si="1"/>
        <v>0</v>
      </c>
      <c r="E33">
        <f>COUNTIF(Vertices[Degree],"&gt;= "&amp;D33)-COUNTIF(Vertices[Degree],"&gt;="&amp;D34)</f>
        <v>0</v>
      </c>
      <c r="F33" s="36">
        <f t="shared" si="2"/>
        <v>4.5588235294117645</v>
      </c>
      <c r="G33" s="37">
        <f>COUNTIF(Vertices[In-Degree],"&gt;= "&amp;F33)-COUNTIF(Vertices[In-Degree],"&gt;="&amp;F34)</f>
        <v>0</v>
      </c>
      <c r="H33" s="36">
        <f t="shared" si="3"/>
        <v>8.205882352941176</v>
      </c>
      <c r="I33" s="37">
        <f>COUNTIF(Vertices[Out-Degree],"&gt;= "&amp;H33)-COUNTIF(Vertices[Out-Degree],"&gt;="&amp;H34)</f>
        <v>0</v>
      </c>
      <c r="J33" s="36">
        <f t="shared" si="4"/>
        <v>94.82352941176477</v>
      </c>
      <c r="K33" s="37">
        <f>COUNTIF(Vertices[Betweenness Centrality],"&gt;= "&amp;J33)-COUNTIF(Vertices[Betweenness Centrality],"&gt;="&amp;J34)</f>
        <v>0</v>
      </c>
      <c r="L33" s="36">
        <f t="shared" si="5"/>
        <v>0.039842294117647066</v>
      </c>
      <c r="M33" s="37">
        <f>COUNTIF(Vertices[Closeness Centrality],"&gt;= "&amp;L33)-COUNTIF(Vertices[Closeness Centrality],"&gt;="&amp;L34)</f>
        <v>0</v>
      </c>
      <c r="N33" s="36">
        <f t="shared" si="6"/>
        <v>0.3456135294117647</v>
      </c>
      <c r="O33" s="37">
        <f>COUNTIF(Vertices[Eigenvector Centrality],"&gt;= "&amp;N33)-COUNTIF(Vertices[Eigenvector Centrality],"&gt;="&amp;N34)</f>
        <v>0</v>
      </c>
      <c r="P33" s="36">
        <f t="shared" si="7"/>
        <v>0.00838094117647059</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4.705882352941177</v>
      </c>
      <c r="G34" s="35">
        <f>COUNTIF(Vertices[In-Degree],"&gt;= "&amp;F34)-COUNTIF(Vertices[In-Degree],"&gt;="&amp;F35)</f>
        <v>0</v>
      </c>
      <c r="H34" s="34">
        <f t="shared" si="3"/>
        <v>8.470588235294118</v>
      </c>
      <c r="I34" s="35">
        <f>COUNTIF(Vertices[Out-Degree],"&gt;= "&amp;H34)-COUNTIF(Vertices[Out-Degree],"&gt;="&amp;H35)</f>
        <v>0</v>
      </c>
      <c r="J34" s="34">
        <f t="shared" si="4"/>
        <v>97.88235294117653</v>
      </c>
      <c r="K34" s="35">
        <f>COUNTIF(Vertices[Betweenness Centrality],"&gt;= "&amp;J34)-COUNTIF(Vertices[Betweenness Centrality],"&gt;="&amp;J35)</f>
        <v>0</v>
      </c>
      <c r="L34" s="34">
        <f t="shared" si="5"/>
        <v>0.041127529411764716</v>
      </c>
      <c r="M34" s="35">
        <f>COUNTIF(Vertices[Closeness Centrality],"&gt;= "&amp;L34)-COUNTIF(Vertices[Closeness Centrality],"&gt;="&amp;L35)</f>
        <v>0</v>
      </c>
      <c r="N34" s="34">
        <f t="shared" si="6"/>
        <v>0.3567623529411765</v>
      </c>
      <c r="O34" s="35">
        <f>COUNTIF(Vertices[Eigenvector Centrality],"&gt;= "&amp;N34)-COUNTIF(Vertices[Eigenvector Centrality],"&gt;="&amp;N35)</f>
        <v>0</v>
      </c>
      <c r="P34" s="34">
        <f t="shared" si="7"/>
        <v>0.008651294117647059</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10952</v>
      </c>
      <c r="B35" s="31" t="s">
        <v>10967</v>
      </c>
      <c r="D35" s="29">
        <f t="shared" si="1"/>
        <v>0</v>
      </c>
      <c r="E35">
        <f>COUNTIF(Vertices[Degree],"&gt;= "&amp;D35)-COUNTIF(Vertices[Degree],"&gt;="&amp;D36)</f>
        <v>0</v>
      </c>
      <c r="F35" s="36">
        <f t="shared" si="2"/>
        <v>4.852941176470589</v>
      </c>
      <c r="G35" s="37">
        <f>COUNTIF(Vertices[In-Degree],"&gt;= "&amp;F35)-COUNTIF(Vertices[In-Degree],"&gt;="&amp;F36)</f>
        <v>0</v>
      </c>
      <c r="H35" s="36">
        <f t="shared" si="3"/>
        <v>8.73529411764706</v>
      </c>
      <c r="I35" s="37">
        <f>COUNTIF(Vertices[Out-Degree],"&gt;= "&amp;H35)-COUNTIF(Vertices[Out-Degree],"&gt;="&amp;H36)</f>
        <v>0</v>
      </c>
      <c r="J35" s="36">
        <f t="shared" si="4"/>
        <v>100.9411764705883</v>
      </c>
      <c r="K35" s="37">
        <f>COUNTIF(Vertices[Betweenness Centrality],"&gt;= "&amp;J35)-COUNTIF(Vertices[Betweenness Centrality],"&gt;="&amp;J36)</f>
        <v>0</v>
      </c>
      <c r="L35" s="36">
        <f t="shared" si="5"/>
        <v>0.042412764705882365</v>
      </c>
      <c r="M35" s="37">
        <f>COUNTIF(Vertices[Closeness Centrality],"&gt;= "&amp;L35)-COUNTIF(Vertices[Closeness Centrality],"&gt;="&amp;L36)</f>
        <v>0</v>
      </c>
      <c r="N35" s="36">
        <f t="shared" si="6"/>
        <v>0.36791117647058824</v>
      </c>
      <c r="O35" s="37">
        <f>COUNTIF(Vertices[Eigenvector Centrality],"&gt;= "&amp;N35)-COUNTIF(Vertices[Eigenvector Centrality],"&gt;="&amp;N36)</f>
        <v>0</v>
      </c>
      <c r="P35" s="36">
        <f t="shared" si="7"/>
        <v>0.008921647058823529</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5</v>
      </c>
      <c r="G36" s="39">
        <f>COUNTIF(Vertices[In-Degree],"&gt;= "&amp;F36)-COUNTIF(Vertices[In-Degree],"&gt;="&amp;#REF!)</f>
        <v>1</v>
      </c>
      <c r="H36" s="38">
        <f>MAX(Vertices[Out-Degree])</f>
        <v>9</v>
      </c>
      <c r="I36" s="39">
        <f>COUNTIF(Vertices[Out-Degree],"&gt;= "&amp;H36)-COUNTIF(Vertices[Out-Degree],"&gt;="&amp;#REF!)</f>
        <v>1</v>
      </c>
      <c r="J36" s="38">
        <f>MAX(Vertices[Betweenness Centrality])</f>
        <v>104</v>
      </c>
      <c r="K36" s="39">
        <f>COUNTIF(Vertices[Betweenness Centrality],"&gt;= "&amp;J36)-COUNTIF(Vertices[Betweenness Centrality],"&gt;="&amp;#REF!)</f>
        <v>1</v>
      </c>
      <c r="L36" s="38">
        <f>MAX(Vertices[Closeness Centrality])</f>
        <v>0.043698</v>
      </c>
      <c r="M36" s="39">
        <f>COUNTIF(Vertices[Closeness Centrality],"&gt;= "&amp;L36)-COUNTIF(Vertices[Closeness Centrality],"&gt;="&amp;#REF!)</f>
        <v>1</v>
      </c>
      <c r="N36" s="38">
        <f>MAX(Vertices[Eigenvector Centrality])</f>
        <v>0.37906</v>
      </c>
      <c r="O36" s="39">
        <f>COUNTIF(Vertices[Eigenvector Centrality],"&gt;= "&amp;N36)-COUNTIF(Vertices[Eigenvector Centrality],"&gt;="&amp;#REF!)</f>
        <v>2</v>
      </c>
      <c r="P36" s="38">
        <f>MAX(Vertices[PageRank])</f>
        <v>0.009192</v>
      </c>
      <c r="Q36" s="39">
        <f>COUNTIF(Vertices[PageRank],"&gt;= "&amp;P36)-COUNTIF(Vertices[PageRank],"&gt;="&amp;#REF!)</f>
        <v>1</v>
      </c>
      <c r="R36" s="38">
        <f>MAX(Vertices[Clustering Coefficient])</f>
        <v>0</v>
      </c>
      <c r="S36" s="42">
        <f>COUNTIF(Vertices[Clustering Coefficient],"&gt;= "&amp;R36)-COUNTIF(Vertices[Clustering Coefficient],"&gt;="&amp;#REF!)</f>
        <v>218</v>
      </c>
      <c r="T36" s="38" t="e">
        <f ca="1">MAX(INDIRECT(DynamicFilterSourceColumnRange))</f>
        <v>#REF!</v>
      </c>
      <c r="U36" s="39" t="e">
        <f ca="1">COUNTIF(INDIRECT(DynamicFilterSourceColumnRange),"&gt;= "&amp;T36)-COUNTIF(INDIRECT(DynamicFilterSourceColumnRange),"&gt;="&amp;#REF!)</f>
        <v>#REF!</v>
      </c>
    </row>
    <row r="37" spans="1:2" ht="15">
      <c r="A37" s="31" t="s">
        <v>10953</v>
      </c>
      <c r="B37" s="31" t="s">
        <v>11692</v>
      </c>
    </row>
    <row r="38" spans="1:2" ht="15">
      <c r="A38" s="31" t="s">
        <v>10954</v>
      </c>
      <c r="B38" s="31" t="s">
        <v>11693</v>
      </c>
    </row>
    <row r="39" spans="1:2" ht="15">
      <c r="A39" s="113"/>
      <c r="B39" s="113"/>
    </row>
    <row r="40" spans="1:2" ht="15">
      <c r="A40" s="31" t="s">
        <v>10955</v>
      </c>
      <c r="B40" s="31" t="s">
        <v>10968</v>
      </c>
    </row>
    <row r="41" spans="1:2" ht="15">
      <c r="A41" s="31" t="s">
        <v>10956</v>
      </c>
      <c r="B41" s="31" t="s">
        <v>10969</v>
      </c>
    </row>
    <row r="42" spans="1:2" ht="409.5">
      <c r="A42" s="31" t="s">
        <v>10957</v>
      </c>
      <c r="B42" s="50" t="s">
        <v>10970</v>
      </c>
    </row>
    <row r="43" spans="1:2" ht="15">
      <c r="A43" s="31" t="s">
        <v>10958</v>
      </c>
      <c r="B43" s="31" t="s">
        <v>11691</v>
      </c>
    </row>
    <row r="44" spans="1:2" ht="15">
      <c r="A44" s="31" t="s">
        <v>10959</v>
      </c>
      <c r="B44" s="31" t="s">
        <v>10971</v>
      </c>
    </row>
    <row r="45" spans="1:2" ht="15">
      <c r="A45" s="31" t="s">
        <v>10960</v>
      </c>
      <c r="B45" s="31" t="s">
        <v>2348</v>
      </c>
    </row>
    <row r="46" spans="1:2" ht="15">
      <c r="A46" s="31" t="s">
        <v>10961</v>
      </c>
      <c r="B46" s="31" t="s">
        <v>2348</v>
      </c>
    </row>
    <row r="47" spans="1:2" ht="15">
      <c r="A47" s="31" t="s">
        <v>10962</v>
      </c>
      <c r="B47" s="31" t="s">
        <v>2348</v>
      </c>
    </row>
    <row r="48" spans="1:2" ht="15">
      <c r="A48" s="31" t="s">
        <v>10963</v>
      </c>
      <c r="B48" s="31"/>
    </row>
    <row r="49" spans="1:2" ht="15">
      <c r="A49" s="31" t="s">
        <v>21</v>
      </c>
      <c r="B49" s="31"/>
    </row>
    <row r="50" spans="1:2" ht="15">
      <c r="A50" s="31" t="s">
        <v>10964</v>
      </c>
      <c r="B50" s="31" t="s">
        <v>32</v>
      </c>
    </row>
    <row r="51" spans="1:2" ht="15">
      <c r="A51" s="31" t="s">
        <v>10965</v>
      </c>
      <c r="B51" s="31"/>
    </row>
    <row r="52" spans="1:2" ht="15">
      <c r="A52" s="31" t="s">
        <v>10966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v>
      </c>
    </row>
    <row r="90" spans="1:2" ht="15">
      <c r="A90" s="30" t="s">
        <v>90</v>
      </c>
      <c r="B90" s="44">
        <f>_xlfn.IFERROR(AVERAGE(Vertices[In-Degree]),NoMetricMessage)</f>
        <v>0.7706422018348624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9</v>
      </c>
    </row>
    <row r="104" spans="1:2" ht="15">
      <c r="A104" s="30" t="s">
        <v>96</v>
      </c>
      <c r="B104" s="44">
        <f>_xlfn.IFERROR(AVERAGE(Vertices[Out-Degree]),NoMetricMessage)</f>
        <v>0.7706422018348624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104</v>
      </c>
    </row>
    <row r="118" spans="1:2" ht="15">
      <c r="A118" s="30" t="s">
        <v>102</v>
      </c>
      <c r="B118" s="44">
        <f>_xlfn.IFERROR(AVERAGE(Vertices[Betweenness Centrality]),NoMetricMessage)</f>
        <v>2.9357798165137616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0.043698</v>
      </c>
    </row>
    <row r="132" spans="1:2" ht="15">
      <c r="A132" s="30" t="s">
        <v>108</v>
      </c>
      <c r="B132" s="44">
        <f>_xlfn.IFERROR(AVERAGE(Vertices[Closeness Centrality]),NoMetricMessage)</f>
        <v>0.007729564220183469</v>
      </c>
    </row>
    <row r="133" spans="1:2" ht="15">
      <c r="A133" s="30" t="s">
        <v>109</v>
      </c>
      <c r="B133" s="44">
        <f>_xlfn.IFERROR(MEDIAN(Vertices[Closeness Centrality]),NoMetricMessage)</f>
        <v>0.004695</v>
      </c>
    </row>
    <row r="144" spans="1:2" ht="15">
      <c r="A144" s="30" t="s">
        <v>112</v>
      </c>
      <c r="B144" s="44">
        <f>IF(COUNT(Vertices[Eigenvector Centrality])&gt;0,N2,NoMetricMessage)</f>
        <v>0</v>
      </c>
    </row>
    <row r="145" spans="1:2" ht="15">
      <c r="A145" s="30" t="s">
        <v>113</v>
      </c>
      <c r="B145" s="44">
        <f>IF(COUNT(Vertices[Eigenvector Centrality])&gt;0,N36,NoMetricMessage)</f>
        <v>0.37906</v>
      </c>
    </row>
    <row r="146" spans="1:2" ht="15">
      <c r="A146" s="30" t="s">
        <v>114</v>
      </c>
      <c r="B146" s="44">
        <f>_xlfn.IFERROR(AVERAGE(Vertices[Eigenvector Centrality]),NoMetricMessage)</f>
        <v>0.014866504587155965</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0.009192</v>
      </c>
    </row>
    <row r="160" spans="1:2" ht="15">
      <c r="A160" s="30" t="s">
        <v>142</v>
      </c>
      <c r="B160" s="44">
        <f>_xlfn.IFERROR(AVERAGE(Vertices[PageRank]),NoMetricMessage)</f>
        <v>0.0045872018348623944</v>
      </c>
    </row>
    <row r="161" spans="1:2" ht="15">
      <c r="A161" s="30" t="s">
        <v>143</v>
      </c>
      <c r="B161" s="44">
        <f>_xlfn.IFERROR(MEDIAN(Vertices[PageRank]),NoMetricMessage)</f>
        <v>0.004673</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2313</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2314</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11688</v>
      </c>
    </row>
    <row r="8" spans="1:11" ht="409.5">
      <c r="A8"/>
      <c r="B8">
        <v>2</v>
      </c>
      <c r="C8">
        <v>2</v>
      </c>
      <c r="D8" t="s">
        <v>61</v>
      </c>
      <c r="E8" t="s">
        <v>61</v>
      </c>
      <c r="H8" t="s">
        <v>73</v>
      </c>
      <c r="J8" t="s">
        <v>175</v>
      </c>
      <c r="K8" s="7" t="s">
        <v>11690</v>
      </c>
    </row>
    <row r="9" spans="1:11" ht="409.5">
      <c r="A9"/>
      <c r="B9">
        <v>3</v>
      </c>
      <c r="C9">
        <v>4</v>
      </c>
      <c r="D9" t="s">
        <v>62</v>
      </c>
      <c r="E9" t="s">
        <v>62</v>
      </c>
      <c r="H9" t="s">
        <v>74</v>
      </c>
      <c r="J9" t="s">
        <v>2315</v>
      </c>
      <c r="K9" s="7" t="s">
        <v>2316</v>
      </c>
    </row>
    <row r="10" spans="1:11" ht="409.5">
      <c r="A10"/>
      <c r="B10">
        <v>4</v>
      </c>
      <c r="D10" t="s">
        <v>63</v>
      </c>
      <c r="E10" t="s">
        <v>63</v>
      </c>
      <c r="H10" t="s">
        <v>75</v>
      </c>
      <c r="J10" t="s">
        <v>2317</v>
      </c>
      <c r="K10" s="7" t="s">
        <v>2318</v>
      </c>
    </row>
    <row r="11" spans="1:11" ht="409.5">
      <c r="A11"/>
      <c r="B11">
        <v>5</v>
      </c>
      <c r="D11" t="s">
        <v>46</v>
      </c>
      <c r="E11">
        <v>1</v>
      </c>
      <c r="H11" t="s">
        <v>76</v>
      </c>
      <c r="J11" t="s">
        <v>2319</v>
      </c>
      <c r="K11" s="7" t="s">
        <v>2320</v>
      </c>
    </row>
    <row r="12" spans="1:11" ht="409.5">
      <c r="A12"/>
      <c r="B12"/>
      <c r="D12" t="s">
        <v>64</v>
      </c>
      <c r="E12">
        <v>2</v>
      </c>
      <c r="H12">
        <v>0</v>
      </c>
      <c r="J12" t="s">
        <v>2321</v>
      </c>
      <c r="K12" s="7" t="s">
        <v>2322</v>
      </c>
    </row>
    <row r="13" spans="1:11" ht="15">
      <c r="A13"/>
      <c r="B13"/>
      <c r="D13">
        <v>1</v>
      </c>
      <c r="E13">
        <v>3</v>
      </c>
      <c r="H13">
        <v>1</v>
      </c>
      <c r="J13" t="s">
        <v>2323</v>
      </c>
      <c r="K13" t="s">
        <v>2324</v>
      </c>
    </row>
    <row r="14" spans="4:11" ht="15">
      <c r="D14">
        <v>2</v>
      </c>
      <c r="E14">
        <v>4</v>
      </c>
      <c r="H14">
        <v>2</v>
      </c>
      <c r="J14" t="s">
        <v>2325</v>
      </c>
      <c r="K14" t="s">
        <v>2326</v>
      </c>
    </row>
    <row r="15" spans="4:11" ht="15">
      <c r="D15">
        <v>3</v>
      </c>
      <c r="E15">
        <v>5</v>
      </c>
      <c r="H15">
        <v>3</v>
      </c>
      <c r="J15" t="s">
        <v>2327</v>
      </c>
      <c r="K15" t="s">
        <v>2328</v>
      </c>
    </row>
    <row r="16" spans="4:11" ht="15">
      <c r="D16">
        <v>4</v>
      </c>
      <c r="E16">
        <v>6</v>
      </c>
      <c r="H16">
        <v>4</v>
      </c>
      <c r="J16" t="s">
        <v>2329</v>
      </c>
      <c r="K16" t="s">
        <v>2330</v>
      </c>
    </row>
    <row r="17" spans="4:11" ht="15">
      <c r="D17">
        <v>5</v>
      </c>
      <c r="E17">
        <v>7</v>
      </c>
      <c r="H17">
        <v>5</v>
      </c>
      <c r="J17" t="s">
        <v>2331</v>
      </c>
      <c r="K17" t="s">
        <v>2332</v>
      </c>
    </row>
    <row r="18" spans="4:11" ht="15">
      <c r="D18">
        <v>6</v>
      </c>
      <c r="E18">
        <v>8</v>
      </c>
      <c r="H18">
        <v>6</v>
      </c>
      <c r="J18" t="s">
        <v>2333</v>
      </c>
      <c r="K18" t="s">
        <v>2334</v>
      </c>
    </row>
    <row r="19" spans="4:11" ht="15">
      <c r="D19">
        <v>7</v>
      </c>
      <c r="E19">
        <v>9</v>
      </c>
      <c r="H19">
        <v>7</v>
      </c>
      <c r="J19" t="s">
        <v>2335</v>
      </c>
      <c r="K19" t="s">
        <v>2336</v>
      </c>
    </row>
    <row r="20" spans="4:11" ht="15">
      <c r="D20">
        <v>8</v>
      </c>
      <c r="H20">
        <v>8</v>
      </c>
      <c r="J20" t="s">
        <v>2337</v>
      </c>
      <c r="K20" t="s">
        <v>2338</v>
      </c>
    </row>
    <row r="21" spans="4:11" ht="15">
      <c r="D21">
        <v>9</v>
      </c>
      <c r="H21">
        <v>9</v>
      </c>
      <c r="J21" t="s">
        <v>2339</v>
      </c>
      <c r="K21" t="s">
        <v>2340</v>
      </c>
    </row>
    <row r="22" spans="4:11" ht="15">
      <c r="D22">
        <v>10</v>
      </c>
      <c r="J22" t="s">
        <v>2341</v>
      </c>
      <c r="K22" t="s">
        <v>2342</v>
      </c>
    </row>
    <row r="23" spans="4:11" ht="409.5">
      <c r="D23">
        <v>11</v>
      </c>
      <c r="J23" t="s">
        <v>2343</v>
      </c>
      <c r="K23" s="7" t="s">
        <v>2346</v>
      </c>
    </row>
    <row r="24" spans="10:11" ht="409.5">
      <c r="J24" t="s">
        <v>2344</v>
      </c>
      <c r="K24" s="7" t="s">
        <v>2347</v>
      </c>
    </row>
    <row r="25" spans="10:11" ht="409.5">
      <c r="J25" t="s">
        <v>2345</v>
      </c>
      <c r="K25" s="7" t="s">
        <v>11694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DE206-75B7-4021-9C5D-BF4F486D0EA1}">
  <dimension ref="A1:G5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2429</v>
      </c>
      <c r="B1" s="7" t="s">
        <v>2794</v>
      </c>
      <c r="C1" s="7" t="s">
        <v>2798</v>
      </c>
      <c r="D1" s="7" t="s">
        <v>144</v>
      </c>
      <c r="E1" s="7" t="s">
        <v>2800</v>
      </c>
      <c r="F1" s="7" t="s">
        <v>2801</v>
      </c>
      <c r="G1" s="7" t="s">
        <v>2802</v>
      </c>
    </row>
    <row r="2" spans="1:7" ht="15">
      <c r="A2" s="76" t="s">
        <v>2430</v>
      </c>
      <c r="B2" s="76" t="s">
        <v>2795</v>
      </c>
      <c r="C2" s="108"/>
      <c r="D2" s="76"/>
      <c r="E2" s="76"/>
      <c r="F2" s="76"/>
      <c r="G2" s="76"/>
    </row>
    <row r="3" spans="1:7" ht="15">
      <c r="A3" s="77" t="s">
        <v>2431</v>
      </c>
      <c r="B3" s="76" t="s">
        <v>2796</v>
      </c>
      <c r="C3" s="108"/>
      <c r="D3" s="76"/>
      <c r="E3" s="76"/>
      <c r="F3" s="76"/>
      <c r="G3" s="76"/>
    </row>
    <row r="4" spans="1:7" ht="15">
      <c r="A4" s="77" t="s">
        <v>2432</v>
      </c>
      <c r="B4" s="76" t="s">
        <v>2797</v>
      </c>
      <c r="C4" s="108"/>
      <c r="D4" s="76"/>
      <c r="E4" s="76"/>
      <c r="F4" s="76"/>
      <c r="G4" s="76"/>
    </row>
    <row r="5" spans="1:7" ht="15">
      <c r="A5" s="77" t="s">
        <v>2433</v>
      </c>
      <c r="B5" s="76">
        <v>101</v>
      </c>
      <c r="C5" s="108">
        <v>0.022845510065596018</v>
      </c>
      <c r="D5" s="76"/>
      <c r="E5" s="76"/>
      <c r="F5" s="76"/>
      <c r="G5" s="76"/>
    </row>
    <row r="6" spans="1:7" ht="15">
      <c r="A6" s="77" t="s">
        <v>2434</v>
      </c>
      <c r="B6" s="76">
        <v>332</v>
      </c>
      <c r="C6" s="108">
        <v>0.07509613209681068</v>
      </c>
      <c r="D6" s="76"/>
      <c r="E6" s="76"/>
      <c r="F6" s="76"/>
      <c r="G6" s="76"/>
    </row>
    <row r="7" spans="1:7" ht="15">
      <c r="A7" s="77" t="s">
        <v>2435</v>
      </c>
      <c r="B7" s="76">
        <v>1</v>
      </c>
      <c r="C7" s="108">
        <v>0.00022619316896629722</v>
      </c>
      <c r="D7" s="76"/>
      <c r="E7" s="76"/>
      <c r="F7" s="76"/>
      <c r="G7" s="76"/>
    </row>
    <row r="8" spans="1:7" ht="15">
      <c r="A8" s="77" t="s">
        <v>2436</v>
      </c>
      <c r="B8" s="76">
        <v>2021</v>
      </c>
      <c r="C8" s="108">
        <v>0.4571363944808867</v>
      </c>
      <c r="D8" s="76"/>
      <c r="E8" s="76"/>
      <c r="F8" s="76"/>
      <c r="G8" s="76"/>
    </row>
    <row r="9" spans="1:7" ht="15">
      <c r="A9" s="77" t="s">
        <v>2437</v>
      </c>
      <c r="B9" s="76">
        <v>4421</v>
      </c>
      <c r="C9" s="108">
        <v>1</v>
      </c>
      <c r="D9" s="76"/>
      <c r="E9" s="76"/>
      <c r="F9" s="76"/>
      <c r="G9" s="76"/>
    </row>
    <row r="10" spans="1:7" ht="15">
      <c r="A10" s="81" t="s">
        <v>2438</v>
      </c>
      <c r="B10" s="80">
        <v>128</v>
      </c>
      <c r="C10" s="109">
        <v>0.002368854986766972</v>
      </c>
      <c r="D10" s="80" t="s">
        <v>2799</v>
      </c>
      <c r="E10" s="80" t="b">
        <v>0</v>
      </c>
      <c r="F10" s="80" t="b">
        <v>1</v>
      </c>
      <c r="G10" s="80" t="b">
        <v>0</v>
      </c>
    </row>
    <row r="11" spans="1:7" ht="15">
      <c r="A11" s="81" t="s">
        <v>2439</v>
      </c>
      <c r="B11" s="80">
        <v>47</v>
      </c>
      <c r="C11" s="109">
        <v>0.009499718886455462</v>
      </c>
      <c r="D11" s="80" t="s">
        <v>2799</v>
      </c>
      <c r="E11" s="80" t="b">
        <v>0</v>
      </c>
      <c r="F11" s="80" t="b">
        <v>1</v>
      </c>
      <c r="G11" s="80" t="b">
        <v>0</v>
      </c>
    </row>
    <row r="12" spans="1:7" ht="15">
      <c r="A12" s="81" t="s">
        <v>2440</v>
      </c>
      <c r="B12" s="80">
        <v>17</v>
      </c>
      <c r="C12" s="109">
        <v>0.006741309499264416</v>
      </c>
      <c r="D12" s="80" t="s">
        <v>2799</v>
      </c>
      <c r="E12" s="80" t="b">
        <v>0</v>
      </c>
      <c r="F12" s="80" t="b">
        <v>0</v>
      </c>
      <c r="G12" s="80" t="b">
        <v>0</v>
      </c>
    </row>
    <row r="13" spans="1:7" ht="15">
      <c r="A13" s="81" t="s">
        <v>2441</v>
      </c>
      <c r="B13" s="80">
        <v>16</v>
      </c>
      <c r="C13" s="109">
        <v>0.006749964207651463</v>
      </c>
      <c r="D13" s="80" t="s">
        <v>2799</v>
      </c>
      <c r="E13" s="80" t="b">
        <v>0</v>
      </c>
      <c r="F13" s="80" t="b">
        <v>0</v>
      </c>
      <c r="G13" s="80" t="b">
        <v>0</v>
      </c>
    </row>
    <row r="14" spans="1:7" ht="15">
      <c r="A14" s="81" t="s">
        <v>2442</v>
      </c>
      <c r="B14" s="80">
        <v>14</v>
      </c>
      <c r="C14" s="109">
        <v>0.005906218681695031</v>
      </c>
      <c r="D14" s="80" t="s">
        <v>2799</v>
      </c>
      <c r="E14" s="80" t="b">
        <v>0</v>
      </c>
      <c r="F14" s="80" t="b">
        <v>0</v>
      </c>
      <c r="G14" s="80" t="b">
        <v>0</v>
      </c>
    </row>
    <row r="15" spans="1:7" ht="15">
      <c r="A15" s="81" t="s">
        <v>2443</v>
      </c>
      <c r="B15" s="80">
        <v>13</v>
      </c>
      <c r="C15" s="109">
        <v>0.005484345918716814</v>
      </c>
      <c r="D15" s="80" t="s">
        <v>2799</v>
      </c>
      <c r="E15" s="80" t="b">
        <v>0</v>
      </c>
      <c r="F15" s="80" t="b">
        <v>0</v>
      </c>
      <c r="G15" s="80" t="b">
        <v>0</v>
      </c>
    </row>
    <row r="16" spans="1:7" ht="15">
      <c r="A16" s="81" t="s">
        <v>2444</v>
      </c>
      <c r="B16" s="80">
        <v>13</v>
      </c>
      <c r="C16" s="109">
        <v>0.005484345918716814</v>
      </c>
      <c r="D16" s="80" t="s">
        <v>2799</v>
      </c>
      <c r="E16" s="80" t="b">
        <v>0</v>
      </c>
      <c r="F16" s="80" t="b">
        <v>0</v>
      </c>
      <c r="G16" s="80" t="b">
        <v>0</v>
      </c>
    </row>
    <row r="17" spans="1:7" ht="15">
      <c r="A17" s="81" t="s">
        <v>2445</v>
      </c>
      <c r="B17" s="80">
        <v>12</v>
      </c>
      <c r="C17" s="109">
        <v>0.005417244144240365</v>
      </c>
      <c r="D17" s="80" t="s">
        <v>2799</v>
      </c>
      <c r="E17" s="80" t="b">
        <v>0</v>
      </c>
      <c r="F17" s="80" t="b">
        <v>0</v>
      </c>
      <c r="G17" s="80" t="b">
        <v>0</v>
      </c>
    </row>
    <row r="18" spans="1:7" ht="15">
      <c r="A18" s="81" t="s">
        <v>2446</v>
      </c>
      <c r="B18" s="80">
        <v>11</v>
      </c>
      <c r="C18" s="109">
        <v>0.005151348915733161</v>
      </c>
      <c r="D18" s="80" t="s">
        <v>2799</v>
      </c>
      <c r="E18" s="80" t="b">
        <v>0</v>
      </c>
      <c r="F18" s="80" t="b">
        <v>0</v>
      </c>
      <c r="G18" s="80" t="b">
        <v>0</v>
      </c>
    </row>
    <row r="19" spans="1:7" ht="15">
      <c r="A19" s="81" t="s">
        <v>2447</v>
      </c>
      <c r="B19" s="80">
        <v>10</v>
      </c>
      <c r="C19" s="109">
        <v>0.0048695053105788704</v>
      </c>
      <c r="D19" s="80" t="s">
        <v>2799</v>
      </c>
      <c r="E19" s="80" t="b">
        <v>0</v>
      </c>
      <c r="F19" s="80" t="b">
        <v>0</v>
      </c>
      <c r="G19" s="80" t="b">
        <v>0</v>
      </c>
    </row>
    <row r="20" spans="1:7" ht="15">
      <c r="A20" s="81" t="s">
        <v>2448</v>
      </c>
      <c r="B20" s="80">
        <v>10</v>
      </c>
      <c r="C20" s="109">
        <v>0.0048695053105788704</v>
      </c>
      <c r="D20" s="80" t="s">
        <v>2799</v>
      </c>
      <c r="E20" s="80" t="b">
        <v>0</v>
      </c>
      <c r="F20" s="80" t="b">
        <v>0</v>
      </c>
      <c r="G20" s="80" t="b">
        <v>0</v>
      </c>
    </row>
    <row r="21" spans="1:7" ht="15">
      <c r="A21" s="81" t="s">
        <v>2449</v>
      </c>
      <c r="B21" s="80">
        <v>9</v>
      </c>
      <c r="C21" s="109">
        <v>0.004570155717592065</v>
      </c>
      <c r="D21" s="80" t="s">
        <v>2799</v>
      </c>
      <c r="E21" s="80" t="b">
        <v>0</v>
      </c>
      <c r="F21" s="80" t="b">
        <v>0</v>
      </c>
      <c r="G21" s="80" t="b">
        <v>0</v>
      </c>
    </row>
    <row r="22" spans="1:7" ht="15">
      <c r="A22" s="81" t="s">
        <v>2450</v>
      </c>
      <c r="B22" s="80">
        <v>9</v>
      </c>
      <c r="C22" s="109">
        <v>0.004382554779520984</v>
      </c>
      <c r="D22" s="80" t="s">
        <v>2799</v>
      </c>
      <c r="E22" s="80" t="b">
        <v>0</v>
      </c>
      <c r="F22" s="80" t="b">
        <v>0</v>
      </c>
      <c r="G22" s="80" t="b">
        <v>0</v>
      </c>
    </row>
    <row r="23" spans="1:7" ht="15">
      <c r="A23" s="81" t="s">
        <v>2451</v>
      </c>
      <c r="B23" s="80">
        <v>9</v>
      </c>
      <c r="C23" s="109">
        <v>0.004570155717592065</v>
      </c>
      <c r="D23" s="80" t="s">
        <v>2799</v>
      </c>
      <c r="E23" s="80" t="b">
        <v>0</v>
      </c>
      <c r="F23" s="80" t="b">
        <v>0</v>
      </c>
      <c r="G23" s="80" t="b">
        <v>0</v>
      </c>
    </row>
    <row r="24" spans="1:7" ht="15">
      <c r="A24" s="81" t="s">
        <v>2452</v>
      </c>
      <c r="B24" s="80">
        <v>8</v>
      </c>
      <c r="C24" s="109">
        <v>0.004062360637859613</v>
      </c>
      <c r="D24" s="80" t="s">
        <v>2799</v>
      </c>
      <c r="E24" s="80" t="b">
        <v>0</v>
      </c>
      <c r="F24" s="80" t="b">
        <v>0</v>
      </c>
      <c r="G24" s="80" t="b">
        <v>0</v>
      </c>
    </row>
    <row r="25" spans="1:7" ht="15">
      <c r="A25" s="81" t="s">
        <v>2453</v>
      </c>
      <c r="B25" s="80">
        <v>8</v>
      </c>
      <c r="C25" s="109">
        <v>0.004062360637859613</v>
      </c>
      <c r="D25" s="80" t="s">
        <v>2799</v>
      </c>
      <c r="E25" s="80" t="b">
        <v>0</v>
      </c>
      <c r="F25" s="80" t="b">
        <v>0</v>
      </c>
      <c r="G25" s="80" t="b">
        <v>0</v>
      </c>
    </row>
    <row r="26" spans="1:7" ht="15">
      <c r="A26" s="81" t="s">
        <v>2454</v>
      </c>
      <c r="B26" s="80">
        <v>8</v>
      </c>
      <c r="C26" s="109">
        <v>0.004251413439742862</v>
      </c>
      <c r="D26" s="80" t="s">
        <v>2799</v>
      </c>
      <c r="E26" s="80" t="b">
        <v>0</v>
      </c>
      <c r="F26" s="80" t="b">
        <v>0</v>
      </c>
      <c r="G26" s="80" t="b">
        <v>0</v>
      </c>
    </row>
    <row r="27" spans="1:7" ht="15">
      <c r="A27" s="81" t="s">
        <v>2455</v>
      </c>
      <c r="B27" s="80">
        <v>8</v>
      </c>
      <c r="C27" s="109">
        <v>0.004251413439742862</v>
      </c>
      <c r="D27" s="80" t="s">
        <v>2799</v>
      </c>
      <c r="E27" s="80" t="b">
        <v>1</v>
      </c>
      <c r="F27" s="80" t="b">
        <v>0</v>
      </c>
      <c r="G27" s="80" t="b">
        <v>0</v>
      </c>
    </row>
    <row r="28" spans="1:7" ht="15">
      <c r="A28" s="81" t="s">
        <v>2456</v>
      </c>
      <c r="B28" s="80">
        <v>7</v>
      </c>
      <c r="C28" s="109">
        <v>0.0037199867597750044</v>
      </c>
      <c r="D28" s="80" t="s">
        <v>2799</v>
      </c>
      <c r="E28" s="80" t="b">
        <v>0</v>
      </c>
      <c r="F28" s="80" t="b">
        <v>0</v>
      </c>
      <c r="G28" s="80" t="b">
        <v>0</v>
      </c>
    </row>
    <row r="29" spans="1:7" ht="15">
      <c r="A29" s="81" t="s">
        <v>2457</v>
      </c>
      <c r="B29" s="80">
        <v>7</v>
      </c>
      <c r="C29" s="109">
        <v>0.0037199867597750044</v>
      </c>
      <c r="D29" s="80" t="s">
        <v>2799</v>
      </c>
      <c r="E29" s="80" t="b">
        <v>0</v>
      </c>
      <c r="F29" s="80" t="b">
        <v>0</v>
      </c>
      <c r="G29" s="80" t="b">
        <v>0</v>
      </c>
    </row>
    <row r="30" spans="1:7" ht="15">
      <c r="A30" s="81" t="s">
        <v>2458</v>
      </c>
      <c r="B30" s="80">
        <v>7</v>
      </c>
      <c r="C30" s="109">
        <v>0.0037199867597750044</v>
      </c>
      <c r="D30" s="80" t="s">
        <v>2799</v>
      </c>
      <c r="E30" s="80" t="b">
        <v>1</v>
      </c>
      <c r="F30" s="80" t="b">
        <v>0</v>
      </c>
      <c r="G30" s="80" t="b">
        <v>0</v>
      </c>
    </row>
    <row r="31" spans="1:7" ht="15">
      <c r="A31" s="81" t="s">
        <v>2459</v>
      </c>
      <c r="B31" s="80">
        <v>6</v>
      </c>
      <c r="C31" s="109">
        <v>0.003352244162033585</v>
      </c>
      <c r="D31" s="80" t="s">
        <v>2799</v>
      </c>
      <c r="E31" s="80" t="b">
        <v>0</v>
      </c>
      <c r="F31" s="80" t="b">
        <v>0</v>
      </c>
      <c r="G31" s="80" t="b">
        <v>0</v>
      </c>
    </row>
    <row r="32" spans="1:7" ht="15">
      <c r="A32" s="81" t="s">
        <v>2460</v>
      </c>
      <c r="B32" s="80">
        <v>6</v>
      </c>
      <c r="C32" s="109">
        <v>0.003352244162033585</v>
      </c>
      <c r="D32" s="80" t="s">
        <v>2799</v>
      </c>
      <c r="E32" s="80" t="b">
        <v>0</v>
      </c>
      <c r="F32" s="80" t="b">
        <v>0</v>
      </c>
      <c r="G32" s="80" t="b">
        <v>0</v>
      </c>
    </row>
    <row r="33" spans="1:7" ht="15">
      <c r="A33" s="81" t="s">
        <v>2461</v>
      </c>
      <c r="B33" s="80">
        <v>6</v>
      </c>
      <c r="C33" s="109">
        <v>0.0035458413406341347</v>
      </c>
      <c r="D33" s="80" t="s">
        <v>2799</v>
      </c>
      <c r="E33" s="80" t="b">
        <v>0</v>
      </c>
      <c r="F33" s="80" t="b">
        <v>0</v>
      </c>
      <c r="G33" s="80" t="b">
        <v>0</v>
      </c>
    </row>
    <row r="34" spans="1:7" ht="15">
      <c r="A34" s="81" t="s">
        <v>2462</v>
      </c>
      <c r="B34" s="80">
        <v>6</v>
      </c>
      <c r="C34" s="109">
        <v>0.0035458413406341347</v>
      </c>
      <c r="D34" s="80" t="s">
        <v>2799</v>
      </c>
      <c r="E34" s="80" t="b">
        <v>0</v>
      </c>
      <c r="F34" s="80" t="b">
        <v>0</v>
      </c>
      <c r="G34" s="80" t="b">
        <v>0</v>
      </c>
    </row>
    <row r="35" spans="1:7" ht="15">
      <c r="A35" s="81" t="s">
        <v>2463</v>
      </c>
      <c r="B35" s="80">
        <v>6</v>
      </c>
      <c r="C35" s="109">
        <v>0.0037827851377198476</v>
      </c>
      <c r="D35" s="80" t="s">
        <v>2799</v>
      </c>
      <c r="E35" s="80" t="b">
        <v>0</v>
      </c>
      <c r="F35" s="80" t="b">
        <v>0</v>
      </c>
      <c r="G35" s="80" t="b">
        <v>0</v>
      </c>
    </row>
    <row r="36" spans="1:7" ht="15">
      <c r="A36" s="81" t="s">
        <v>2464</v>
      </c>
      <c r="B36" s="80">
        <v>6</v>
      </c>
      <c r="C36" s="109">
        <v>0.003352244162033585</v>
      </c>
      <c r="D36" s="80" t="s">
        <v>2799</v>
      </c>
      <c r="E36" s="80" t="b">
        <v>0</v>
      </c>
      <c r="F36" s="80" t="b">
        <v>0</v>
      </c>
      <c r="G36" s="80" t="b">
        <v>0</v>
      </c>
    </row>
    <row r="37" spans="1:7" ht="15">
      <c r="A37" s="81" t="s">
        <v>2465</v>
      </c>
      <c r="B37" s="80">
        <v>6</v>
      </c>
      <c r="C37" s="109">
        <v>0.003352244162033585</v>
      </c>
      <c r="D37" s="80" t="s">
        <v>2799</v>
      </c>
      <c r="E37" s="80" t="b">
        <v>1</v>
      </c>
      <c r="F37" s="80" t="b">
        <v>0</v>
      </c>
      <c r="G37" s="80" t="b">
        <v>0</v>
      </c>
    </row>
    <row r="38" spans="1:7" ht="15">
      <c r="A38" s="81" t="s">
        <v>2466</v>
      </c>
      <c r="B38" s="80">
        <v>6</v>
      </c>
      <c r="C38" s="109">
        <v>0.003352244162033585</v>
      </c>
      <c r="D38" s="80" t="s">
        <v>2799</v>
      </c>
      <c r="E38" s="80" t="b">
        <v>0</v>
      </c>
      <c r="F38" s="80" t="b">
        <v>0</v>
      </c>
      <c r="G38" s="80" t="b">
        <v>0</v>
      </c>
    </row>
    <row r="39" spans="1:7" ht="15">
      <c r="A39" s="81" t="s">
        <v>2467</v>
      </c>
      <c r="B39" s="80">
        <v>6</v>
      </c>
      <c r="C39" s="109">
        <v>0.0035458413406341347</v>
      </c>
      <c r="D39" s="80" t="s">
        <v>2799</v>
      </c>
      <c r="E39" s="80" t="b">
        <v>0</v>
      </c>
      <c r="F39" s="80" t="b">
        <v>0</v>
      </c>
      <c r="G39" s="80" t="b">
        <v>0</v>
      </c>
    </row>
    <row r="40" spans="1:7" ht="15">
      <c r="A40" s="81" t="s">
        <v>2468</v>
      </c>
      <c r="B40" s="80">
        <v>6</v>
      </c>
      <c r="C40" s="109">
        <v>0.003352244162033585</v>
      </c>
      <c r="D40" s="80" t="s">
        <v>2799</v>
      </c>
      <c r="E40" s="80" t="b">
        <v>0</v>
      </c>
      <c r="F40" s="80" t="b">
        <v>0</v>
      </c>
      <c r="G40" s="80" t="b">
        <v>0</v>
      </c>
    </row>
    <row r="41" spans="1:7" ht="15">
      <c r="A41" s="81" t="s">
        <v>2469</v>
      </c>
      <c r="B41" s="80">
        <v>5</v>
      </c>
      <c r="C41" s="109">
        <v>0.0034068823511322686</v>
      </c>
      <c r="D41" s="80" t="s">
        <v>2799</v>
      </c>
      <c r="E41" s="80" t="b">
        <v>0</v>
      </c>
      <c r="F41" s="80" t="b">
        <v>0</v>
      </c>
      <c r="G41" s="80" t="b">
        <v>0</v>
      </c>
    </row>
    <row r="42" spans="1:7" ht="15">
      <c r="A42" s="81" t="s">
        <v>2470</v>
      </c>
      <c r="B42" s="80">
        <v>5</v>
      </c>
      <c r="C42" s="109">
        <v>0.0029548677838617788</v>
      </c>
      <c r="D42" s="80" t="s">
        <v>2799</v>
      </c>
      <c r="E42" s="80" t="b">
        <v>0</v>
      </c>
      <c r="F42" s="80" t="b">
        <v>0</v>
      </c>
      <c r="G42" s="80" t="b">
        <v>0</v>
      </c>
    </row>
    <row r="43" spans="1:7" ht="15">
      <c r="A43" s="81" t="s">
        <v>2471</v>
      </c>
      <c r="B43" s="80">
        <v>5</v>
      </c>
      <c r="C43" s="109">
        <v>0.0029548677838617788</v>
      </c>
      <c r="D43" s="80" t="s">
        <v>2799</v>
      </c>
      <c r="E43" s="80" t="b">
        <v>0</v>
      </c>
      <c r="F43" s="80" t="b">
        <v>0</v>
      </c>
      <c r="G43" s="80" t="b">
        <v>0</v>
      </c>
    </row>
    <row r="44" spans="1:7" ht="15">
      <c r="A44" s="81" t="s">
        <v>2472</v>
      </c>
      <c r="B44" s="80">
        <v>5</v>
      </c>
      <c r="C44" s="109">
        <v>0.0031523209480998726</v>
      </c>
      <c r="D44" s="80" t="s">
        <v>2799</v>
      </c>
      <c r="E44" s="80" t="b">
        <v>0</v>
      </c>
      <c r="F44" s="80" t="b">
        <v>0</v>
      </c>
      <c r="G44" s="80" t="b">
        <v>0</v>
      </c>
    </row>
    <row r="45" spans="1:7" ht="15">
      <c r="A45" s="81" t="s">
        <v>2473</v>
      </c>
      <c r="B45" s="80">
        <v>5</v>
      </c>
      <c r="C45" s="109">
        <v>0.0029548677838617788</v>
      </c>
      <c r="D45" s="80" t="s">
        <v>2799</v>
      </c>
      <c r="E45" s="80" t="b">
        <v>0</v>
      </c>
      <c r="F45" s="80" t="b">
        <v>0</v>
      </c>
      <c r="G45" s="80" t="b">
        <v>0</v>
      </c>
    </row>
    <row r="46" spans="1:7" ht="15">
      <c r="A46" s="81" t="s">
        <v>2474</v>
      </c>
      <c r="B46" s="80">
        <v>5</v>
      </c>
      <c r="C46" s="109">
        <v>0.0031523209480998726</v>
      </c>
      <c r="D46" s="80" t="s">
        <v>2799</v>
      </c>
      <c r="E46" s="80" t="b">
        <v>0</v>
      </c>
      <c r="F46" s="80" t="b">
        <v>0</v>
      </c>
      <c r="G46" s="80" t="b">
        <v>0</v>
      </c>
    </row>
    <row r="47" spans="1:7" ht="15">
      <c r="A47" s="81" t="s">
        <v>2475</v>
      </c>
      <c r="B47" s="80">
        <v>5</v>
      </c>
      <c r="C47" s="109">
        <v>0.0034068823511322686</v>
      </c>
      <c r="D47" s="80" t="s">
        <v>2799</v>
      </c>
      <c r="E47" s="80" t="b">
        <v>0</v>
      </c>
      <c r="F47" s="80" t="b">
        <v>0</v>
      </c>
      <c r="G47" s="80" t="b">
        <v>0</v>
      </c>
    </row>
    <row r="48" spans="1:7" ht="15">
      <c r="A48" s="81" t="s">
        <v>2476</v>
      </c>
      <c r="B48" s="80">
        <v>5</v>
      </c>
      <c r="C48" s="109">
        <v>0.0031523209480998726</v>
      </c>
      <c r="D48" s="80" t="s">
        <v>2799</v>
      </c>
      <c r="E48" s="80" t="b">
        <v>0</v>
      </c>
      <c r="F48" s="80" t="b">
        <v>0</v>
      </c>
      <c r="G48" s="80" t="b">
        <v>0</v>
      </c>
    </row>
    <row r="49" spans="1:7" ht="15">
      <c r="A49" s="81" t="s">
        <v>2477</v>
      </c>
      <c r="B49" s="80">
        <v>5</v>
      </c>
      <c r="C49" s="109">
        <v>0.0029548677838617788</v>
      </c>
      <c r="D49" s="80" t="s">
        <v>2799</v>
      </c>
      <c r="E49" s="80" t="b">
        <v>1</v>
      </c>
      <c r="F49" s="80" t="b">
        <v>0</v>
      </c>
      <c r="G49" s="80" t="b">
        <v>0</v>
      </c>
    </row>
    <row r="50" spans="1:7" ht="15">
      <c r="A50" s="81" t="s">
        <v>2478</v>
      </c>
      <c r="B50" s="80">
        <v>5</v>
      </c>
      <c r="C50" s="109">
        <v>0.0029548677838617788</v>
      </c>
      <c r="D50" s="80" t="s">
        <v>2799</v>
      </c>
      <c r="E50" s="80" t="b">
        <v>0</v>
      </c>
      <c r="F50" s="80" t="b">
        <v>0</v>
      </c>
      <c r="G50" s="80" t="b">
        <v>0</v>
      </c>
    </row>
    <row r="51" spans="1:7" ht="15">
      <c r="A51" s="81" t="s">
        <v>2479</v>
      </c>
      <c r="B51" s="80">
        <v>5</v>
      </c>
      <c r="C51" s="109">
        <v>0.0029548677838617788</v>
      </c>
      <c r="D51" s="80" t="s">
        <v>2799</v>
      </c>
      <c r="E51" s="80" t="b">
        <v>0</v>
      </c>
      <c r="F51" s="80" t="b">
        <v>0</v>
      </c>
      <c r="G51" s="80" t="b">
        <v>0</v>
      </c>
    </row>
    <row r="52" spans="1:7" ht="15">
      <c r="A52" s="81" t="s">
        <v>2480</v>
      </c>
      <c r="B52" s="80">
        <v>5</v>
      </c>
      <c r="C52" s="109">
        <v>0.0029548677838617788</v>
      </c>
      <c r="D52" s="80" t="s">
        <v>2799</v>
      </c>
      <c r="E52" s="80" t="b">
        <v>0</v>
      </c>
      <c r="F52" s="80" t="b">
        <v>0</v>
      </c>
      <c r="G52" s="80" t="b">
        <v>0</v>
      </c>
    </row>
    <row r="53" spans="1:7" ht="15">
      <c r="A53" s="81" t="s">
        <v>2481</v>
      </c>
      <c r="B53" s="80">
        <v>5</v>
      </c>
      <c r="C53" s="109">
        <v>0.0029548677838617788</v>
      </c>
      <c r="D53" s="80" t="s">
        <v>2799</v>
      </c>
      <c r="E53" s="80" t="b">
        <v>0</v>
      </c>
      <c r="F53" s="80" t="b">
        <v>0</v>
      </c>
      <c r="G53" s="80" t="b">
        <v>0</v>
      </c>
    </row>
    <row r="54" spans="1:7" ht="15">
      <c r="A54" s="81" t="s">
        <v>2482</v>
      </c>
      <c r="B54" s="80">
        <v>5</v>
      </c>
      <c r="C54" s="109">
        <v>0.0029548677838617788</v>
      </c>
      <c r="D54" s="80" t="s">
        <v>2799</v>
      </c>
      <c r="E54" s="80" t="b">
        <v>0</v>
      </c>
      <c r="F54" s="80" t="b">
        <v>1</v>
      </c>
      <c r="G54" s="80" t="b">
        <v>0</v>
      </c>
    </row>
    <row r="55" spans="1:7" ht="15">
      <c r="A55" s="81" t="s">
        <v>2483</v>
      </c>
      <c r="B55" s="80">
        <v>5</v>
      </c>
      <c r="C55" s="109">
        <v>0.0031523209480998726</v>
      </c>
      <c r="D55" s="80" t="s">
        <v>2799</v>
      </c>
      <c r="E55" s="80" t="b">
        <v>0</v>
      </c>
      <c r="F55" s="80" t="b">
        <v>0</v>
      </c>
      <c r="G55" s="80" t="b">
        <v>0</v>
      </c>
    </row>
    <row r="56" spans="1:7" ht="15">
      <c r="A56" s="81" t="s">
        <v>2484</v>
      </c>
      <c r="B56" s="80">
        <v>5</v>
      </c>
      <c r="C56" s="109">
        <v>0.003765666497537487</v>
      </c>
      <c r="D56" s="80" t="s">
        <v>2799</v>
      </c>
      <c r="E56" s="80" t="b">
        <v>0</v>
      </c>
      <c r="F56" s="80" t="b">
        <v>0</v>
      </c>
      <c r="G56" s="80" t="b">
        <v>0</v>
      </c>
    </row>
    <row r="57" spans="1:7" ht="15">
      <c r="A57" s="81" t="s">
        <v>2485</v>
      </c>
      <c r="B57" s="80">
        <v>5</v>
      </c>
      <c r="C57" s="109">
        <v>0.0029548677838617788</v>
      </c>
      <c r="D57" s="80" t="s">
        <v>2799</v>
      </c>
      <c r="E57" s="80" t="b">
        <v>0</v>
      </c>
      <c r="F57" s="80" t="b">
        <v>0</v>
      </c>
      <c r="G57" s="80" t="b">
        <v>0</v>
      </c>
    </row>
    <row r="58" spans="1:7" ht="15">
      <c r="A58" s="81" t="s">
        <v>2486</v>
      </c>
      <c r="B58" s="80">
        <v>5</v>
      </c>
      <c r="C58" s="109">
        <v>0.0029548677838617788</v>
      </c>
      <c r="D58" s="80" t="s">
        <v>2799</v>
      </c>
      <c r="E58" s="80" t="b">
        <v>0</v>
      </c>
      <c r="F58" s="80" t="b">
        <v>0</v>
      </c>
      <c r="G58" s="80" t="b">
        <v>0</v>
      </c>
    </row>
    <row r="59" spans="1:7" ht="15">
      <c r="A59" s="81" t="s">
        <v>2487</v>
      </c>
      <c r="B59" s="80">
        <v>5</v>
      </c>
      <c r="C59" s="109">
        <v>0.0029548677838617788</v>
      </c>
      <c r="D59" s="80" t="s">
        <v>2799</v>
      </c>
      <c r="E59" s="80" t="b">
        <v>0</v>
      </c>
      <c r="F59" s="80" t="b">
        <v>0</v>
      </c>
      <c r="G59" s="80" t="b">
        <v>0</v>
      </c>
    </row>
    <row r="60" spans="1:7" ht="15">
      <c r="A60" s="81" t="s">
        <v>2488</v>
      </c>
      <c r="B60" s="80">
        <v>5</v>
      </c>
      <c r="C60" s="109">
        <v>0.0031523209480998726</v>
      </c>
      <c r="D60" s="80" t="s">
        <v>2799</v>
      </c>
      <c r="E60" s="80" t="b">
        <v>0</v>
      </c>
      <c r="F60" s="80" t="b">
        <v>0</v>
      </c>
      <c r="G60" s="80" t="b">
        <v>0</v>
      </c>
    </row>
    <row r="61" spans="1:7" ht="15">
      <c r="A61" s="81" t="s">
        <v>350</v>
      </c>
      <c r="B61" s="80">
        <v>5</v>
      </c>
      <c r="C61" s="109">
        <v>0.0029548677838617788</v>
      </c>
      <c r="D61" s="80" t="s">
        <v>2799</v>
      </c>
      <c r="E61" s="80" t="b">
        <v>0</v>
      </c>
      <c r="F61" s="80" t="b">
        <v>0</v>
      </c>
      <c r="G61" s="80" t="b">
        <v>0</v>
      </c>
    </row>
    <row r="62" spans="1:7" ht="15">
      <c r="A62" s="81" t="s">
        <v>2489</v>
      </c>
      <c r="B62" s="80">
        <v>5</v>
      </c>
      <c r="C62" s="109">
        <v>0.0031523209480998726</v>
      </c>
      <c r="D62" s="80" t="s">
        <v>2799</v>
      </c>
      <c r="E62" s="80" t="b">
        <v>0</v>
      </c>
      <c r="F62" s="80" t="b">
        <v>0</v>
      </c>
      <c r="G62" s="80" t="b">
        <v>0</v>
      </c>
    </row>
    <row r="63" spans="1:7" ht="15">
      <c r="A63" s="81" t="s">
        <v>2490</v>
      </c>
      <c r="B63" s="80">
        <v>5</v>
      </c>
      <c r="C63" s="109">
        <v>0.0031523209480998726</v>
      </c>
      <c r="D63" s="80" t="s">
        <v>2799</v>
      </c>
      <c r="E63" s="80" t="b">
        <v>0</v>
      </c>
      <c r="F63" s="80" t="b">
        <v>0</v>
      </c>
      <c r="G63" s="80" t="b">
        <v>0</v>
      </c>
    </row>
    <row r="64" spans="1:7" ht="15">
      <c r="A64" s="81" t="s">
        <v>2491</v>
      </c>
      <c r="B64" s="80">
        <v>4</v>
      </c>
      <c r="C64" s="109">
        <v>0.002521856758479898</v>
      </c>
      <c r="D64" s="80" t="s">
        <v>2799</v>
      </c>
      <c r="E64" s="80" t="b">
        <v>0</v>
      </c>
      <c r="F64" s="80" t="b">
        <v>0</v>
      </c>
      <c r="G64" s="80" t="b">
        <v>0</v>
      </c>
    </row>
    <row r="65" spans="1:7" ht="15">
      <c r="A65" s="81" t="s">
        <v>2492</v>
      </c>
      <c r="B65" s="80">
        <v>4</v>
      </c>
      <c r="C65" s="109">
        <v>0.002725505880905815</v>
      </c>
      <c r="D65" s="80" t="s">
        <v>2799</v>
      </c>
      <c r="E65" s="80" t="b">
        <v>0</v>
      </c>
      <c r="F65" s="80" t="b">
        <v>0</v>
      </c>
      <c r="G65" s="80" t="b">
        <v>0</v>
      </c>
    </row>
    <row r="66" spans="1:7" ht="15">
      <c r="A66" s="81" t="s">
        <v>2493</v>
      </c>
      <c r="B66" s="80">
        <v>4</v>
      </c>
      <c r="C66" s="109">
        <v>0.002521856758479898</v>
      </c>
      <c r="D66" s="80" t="s">
        <v>2799</v>
      </c>
      <c r="E66" s="80" t="b">
        <v>0</v>
      </c>
      <c r="F66" s="80" t="b">
        <v>0</v>
      </c>
      <c r="G66" s="80" t="b">
        <v>0</v>
      </c>
    </row>
    <row r="67" spans="1:7" ht="15">
      <c r="A67" s="81" t="s">
        <v>2494</v>
      </c>
      <c r="B67" s="80">
        <v>4</v>
      </c>
      <c r="C67" s="109">
        <v>0.002521856758479898</v>
      </c>
      <c r="D67" s="80" t="s">
        <v>2799</v>
      </c>
      <c r="E67" s="80" t="b">
        <v>0</v>
      </c>
      <c r="F67" s="80" t="b">
        <v>0</v>
      </c>
      <c r="G67" s="80" t="b">
        <v>0</v>
      </c>
    </row>
    <row r="68" spans="1:7" ht="15">
      <c r="A68" s="81" t="s">
        <v>2495</v>
      </c>
      <c r="B68" s="80">
        <v>4</v>
      </c>
      <c r="C68" s="109">
        <v>0.002521856758479898</v>
      </c>
      <c r="D68" s="80" t="s">
        <v>2799</v>
      </c>
      <c r="E68" s="80" t="b">
        <v>0</v>
      </c>
      <c r="F68" s="80" t="b">
        <v>0</v>
      </c>
      <c r="G68" s="80" t="b">
        <v>0</v>
      </c>
    </row>
    <row r="69" spans="1:7" ht="15">
      <c r="A69" s="81" t="s">
        <v>2496</v>
      </c>
      <c r="B69" s="80">
        <v>4</v>
      </c>
      <c r="C69" s="109">
        <v>0.002521856758479898</v>
      </c>
      <c r="D69" s="80" t="s">
        <v>2799</v>
      </c>
      <c r="E69" s="80" t="b">
        <v>0</v>
      </c>
      <c r="F69" s="80" t="b">
        <v>0</v>
      </c>
      <c r="G69" s="80" t="b">
        <v>0</v>
      </c>
    </row>
    <row r="70" spans="1:7" ht="15">
      <c r="A70" s="81" t="s">
        <v>2497</v>
      </c>
      <c r="B70" s="80">
        <v>4</v>
      </c>
      <c r="C70" s="109">
        <v>0.002521856758479898</v>
      </c>
      <c r="D70" s="80" t="s">
        <v>2799</v>
      </c>
      <c r="E70" s="80" t="b">
        <v>0</v>
      </c>
      <c r="F70" s="80" t="b">
        <v>0</v>
      </c>
      <c r="G70" s="80" t="b">
        <v>0</v>
      </c>
    </row>
    <row r="71" spans="1:7" ht="15">
      <c r="A71" s="81" t="s">
        <v>2498</v>
      </c>
      <c r="B71" s="80">
        <v>4</v>
      </c>
      <c r="C71" s="109">
        <v>0.002521856758479898</v>
      </c>
      <c r="D71" s="80" t="s">
        <v>2799</v>
      </c>
      <c r="E71" s="80" t="b">
        <v>0</v>
      </c>
      <c r="F71" s="80" t="b">
        <v>0</v>
      </c>
      <c r="G71" s="80" t="b">
        <v>0</v>
      </c>
    </row>
    <row r="72" spans="1:7" ht="15">
      <c r="A72" s="81" t="s">
        <v>2499</v>
      </c>
      <c r="B72" s="80">
        <v>4</v>
      </c>
      <c r="C72" s="109">
        <v>0.002521856758479898</v>
      </c>
      <c r="D72" s="80" t="s">
        <v>2799</v>
      </c>
      <c r="E72" s="80" t="b">
        <v>0</v>
      </c>
      <c r="F72" s="80" t="b">
        <v>0</v>
      </c>
      <c r="G72" s="80" t="b">
        <v>0</v>
      </c>
    </row>
    <row r="73" spans="1:7" ht="15">
      <c r="A73" s="81" t="s">
        <v>2500</v>
      </c>
      <c r="B73" s="80">
        <v>4</v>
      </c>
      <c r="C73" s="109">
        <v>0.002725505880905815</v>
      </c>
      <c r="D73" s="80" t="s">
        <v>2799</v>
      </c>
      <c r="E73" s="80" t="b">
        <v>0</v>
      </c>
      <c r="F73" s="80" t="b">
        <v>0</v>
      </c>
      <c r="G73" s="80" t="b">
        <v>0</v>
      </c>
    </row>
    <row r="74" spans="1:7" ht="15">
      <c r="A74" s="81" t="s">
        <v>2501</v>
      </c>
      <c r="B74" s="80">
        <v>4</v>
      </c>
      <c r="C74" s="109">
        <v>0.002521856758479898</v>
      </c>
      <c r="D74" s="80" t="s">
        <v>2799</v>
      </c>
      <c r="E74" s="80" t="b">
        <v>0</v>
      </c>
      <c r="F74" s="80" t="b">
        <v>0</v>
      </c>
      <c r="G74" s="80" t="b">
        <v>0</v>
      </c>
    </row>
    <row r="75" spans="1:7" ht="15">
      <c r="A75" s="81" t="s">
        <v>2502</v>
      </c>
      <c r="B75" s="80">
        <v>4</v>
      </c>
      <c r="C75" s="109">
        <v>0.002521856758479898</v>
      </c>
      <c r="D75" s="80" t="s">
        <v>2799</v>
      </c>
      <c r="E75" s="80" t="b">
        <v>0</v>
      </c>
      <c r="F75" s="80" t="b">
        <v>0</v>
      </c>
      <c r="G75" s="80" t="b">
        <v>0</v>
      </c>
    </row>
    <row r="76" spans="1:7" ht="15">
      <c r="A76" s="81" t="s">
        <v>2503</v>
      </c>
      <c r="B76" s="80">
        <v>4</v>
      </c>
      <c r="C76" s="109">
        <v>0.002521856758479898</v>
      </c>
      <c r="D76" s="80" t="s">
        <v>2799</v>
      </c>
      <c r="E76" s="80" t="b">
        <v>0</v>
      </c>
      <c r="F76" s="80" t="b">
        <v>0</v>
      </c>
      <c r="G76" s="80" t="b">
        <v>0</v>
      </c>
    </row>
    <row r="77" spans="1:7" ht="15">
      <c r="A77" s="81" t="s">
        <v>2504</v>
      </c>
      <c r="B77" s="80">
        <v>4</v>
      </c>
      <c r="C77" s="109">
        <v>0.003503209637580081</v>
      </c>
      <c r="D77" s="80" t="s">
        <v>2799</v>
      </c>
      <c r="E77" s="80" t="b">
        <v>0</v>
      </c>
      <c r="F77" s="80" t="b">
        <v>0</v>
      </c>
      <c r="G77" s="80" t="b">
        <v>0</v>
      </c>
    </row>
    <row r="78" spans="1:7" ht="15">
      <c r="A78" s="81" t="s">
        <v>2505</v>
      </c>
      <c r="B78" s="80">
        <v>4</v>
      </c>
      <c r="C78" s="109">
        <v>0.002725505880905815</v>
      </c>
      <c r="D78" s="80" t="s">
        <v>2799</v>
      </c>
      <c r="E78" s="80" t="b">
        <v>0</v>
      </c>
      <c r="F78" s="80" t="b">
        <v>0</v>
      </c>
      <c r="G78" s="80" t="b">
        <v>0</v>
      </c>
    </row>
    <row r="79" spans="1:7" ht="15">
      <c r="A79" s="81" t="s">
        <v>2506</v>
      </c>
      <c r="B79" s="80">
        <v>4</v>
      </c>
      <c r="C79" s="109">
        <v>0.002521856758479898</v>
      </c>
      <c r="D79" s="80" t="s">
        <v>2799</v>
      </c>
      <c r="E79" s="80" t="b">
        <v>0</v>
      </c>
      <c r="F79" s="80" t="b">
        <v>0</v>
      </c>
      <c r="G79" s="80" t="b">
        <v>0</v>
      </c>
    </row>
    <row r="80" spans="1:7" ht="15">
      <c r="A80" s="81" t="s">
        <v>2507</v>
      </c>
      <c r="B80" s="80">
        <v>4</v>
      </c>
      <c r="C80" s="109">
        <v>0.002521856758479898</v>
      </c>
      <c r="D80" s="80" t="s">
        <v>2799</v>
      </c>
      <c r="E80" s="80" t="b">
        <v>1</v>
      </c>
      <c r="F80" s="80" t="b">
        <v>0</v>
      </c>
      <c r="G80" s="80" t="b">
        <v>0</v>
      </c>
    </row>
    <row r="81" spans="1:7" ht="15">
      <c r="A81" s="81" t="s">
        <v>2508</v>
      </c>
      <c r="B81" s="80">
        <v>4</v>
      </c>
      <c r="C81" s="109">
        <v>0.002521856758479898</v>
      </c>
      <c r="D81" s="80" t="s">
        <v>2799</v>
      </c>
      <c r="E81" s="80" t="b">
        <v>0</v>
      </c>
      <c r="F81" s="80" t="b">
        <v>0</v>
      </c>
      <c r="G81" s="80" t="b">
        <v>0</v>
      </c>
    </row>
    <row r="82" spans="1:7" ht="15">
      <c r="A82" s="81" t="s">
        <v>2509</v>
      </c>
      <c r="B82" s="80">
        <v>4</v>
      </c>
      <c r="C82" s="109">
        <v>0.002521856758479898</v>
      </c>
      <c r="D82" s="80" t="s">
        <v>2799</v>
      </c>
      <c r="E82" s="80" t="b">
        <v>0</v>
      </c>
      <c r="F82" s="80" t="b">
        <v>0</v>
      </c>
      <c r="G82" s="80" t="b">
        <v>0</v>
      </c>
    </row>
    <row r="83" spans="1:7" ht="15">
      <c r="A83" s="81" t="s">
        <v>2510</v>
      </c>
      <c r="B83" s="80">
        <v>4</v>
      </c>
      <c r="C83" s="109">
        <v>0.002521856758479898</v>
      </c>
      <c r="D83" s="80" t="s">
        <v>2799</v>
      </c>
      <c r="E83" s="80" t="b">
        <v>0</v>
      </c>
      <c r="F83" s="80" t="b">
        <v>0</v>
      </c>
      <c r="G83" s="80" t="b">
        <v>0</v>
      </c>
    </row>
    <row r="84" spans="1:7" ht="15">
      <c r="A84" s="81" t="s">
        <v>2511</v>
      </c>
      <c r="B84" s="80">
        <v>4</v>
      </c>
      <c r="C84" s="109">
        <v>0.002521856758479898</v>
      </c>
      <c r="D84" s="80" t="s">
        <v>2799</v>
      </c>
      <c r="E84" s="80" t="b">
        <v>0</v>
      </c>
      <c r="F84" s="80" t="b">
        <v>1</v>
      </c>
      <c r="G84" s="80" t="b">
        <v>0</v>
      </c>
    </row>
    <row r="85" spans="1:7" ht="15">
      <c r="A85" s="81" t="s">
        <v>2512</v>
      </c>
      <c r="B85" s="80">
        <v>4</v>
      </c>
      <c r="C85" s="109">
        <v>0.002521856758479898</v>
      </c>
      <c r="D85" s="80" t="s">
        <v>2799</v>
      </c>
      <c r="E85" s="80" t="b">
        <v>0</v>
      </c>
      <c r="F85" s="80" t="b">
        <v>0</v>
      </c>
      <c r="G85" s="80" t="b">
        <v>0</v>
      </c>
    </row>
    <row r="86" spans="1:7" ht="15">
      <c r="A86" s="81" t="s">
        <v>2513</v>
      </c>
      <c r="B86" s="80">
        <v>4</v>
      </c>
      <c r="C86" s="109">
        <v>0.002521856758479898</v>
      </c>
      <c r="D86" s="80" t="s">
        <v>2799</v>
      </c>
      <c r="E86" s="80" t="b">
        <v>0</v>
      </c>
      <c r="F86" s="80" t="b">
        <v>0</v>
      </c>
      <c r="G86" s="80" t="b">
        <v>0</v>
      </c>
    </row>
    <row r="87" spans="1:7" ht="15">
      <c r="A87" s="81" t="s">
        <v>2514</v>
      </c>
      <c r="B87" s="80">
        <v>4</v>
      </c>
      <c r="C87" s="109">
        <v>0.002521856758479898</v>
      </c>
      <c r="D87" s="80" t="s">
        <v>2799</v>
      </c>
      <c r="E87" s="80" t="b">
        <v>0</v>
      </c>
      <c r="F87" s="80" t="b">
        <v>0</v>
      </c>
      <c r="G87" s="80" t="b">
        <v>0</v>
      </c>
    </row>
    <row r="88" spans="1:7" ht="15">
      <c r="A88" s="81" t="s">
        <v>2515</v>
      </c>
      <c r="B88" s="80">
        <v>4</v>
      </c>
      <c r="C88" s="109">
        <v>0.002521856758479898</v>
      </c>
      <c r="D88" s="80" t="s">
        <v>2799</v>
      </c>
      <c r="E88" s="80" t="b">
        <v>0</v>
      </c>
      <c r="F88" s="80" t="b">
        <v>0</v>
      </c>
      <c r="G88" s="80" t="b">
        <v>0</v>
      </c>
    </row>
    <row r="89" spans="1:7" ht="15">
      <c r="A89" s="81" t="s">
        <v>2516</v>
      </c>
      <c r="B89" s="80">
        <v>4</v>
      </c>
      <c r="C89" s="109">
        <v>0.002521856758479898</v>
      </c>
      <c r="D89" s="80" t="s">
        <v>2799</v>
      </c>
      <c r="E89" s="80" t="b">
        <v>0</v>
      </c>
      <c r="F89" s="80" t="b">
        <v>0</v>
      </c>
      <c r="G89" s="80" t="b">
        <v>0</v>
      </c>
    </row>
    <row r="90" spans="1:7" ht="15">
      <c r="A90" s="81" t="s">
        <v>2517</v>
      </c>
      <c r="B90" s="80">
        <v>4</v>
      </c>
      <c r="C90" s="109">
        <v>0.002521856758479898</v>
      </c>
      <c r="D90" s="80" t="s">
        <v>2799</v>
      </c>
      <c r="E90" s="80" t="b">
        <v>0</v>
      </c>
      <c r="F90" s="80" t="b">
        <v>0</v>
      </c>
      <c r="G90" s="80" t="b">
        <v>0</v>
      </c>
    </row>
    <row r="91" spans="1:7" ht="15">
      <c r="A91" s="81" t="s">
        <v>2518</v>
      </c>
      <c r="B91" s="80">
        <v>3</v>
      </c>
      <c r="C91" s="109">
        <v>0.002044129410679361</v>
      </c>
      <c r="D91" s="80" t="s">
        <v>2799</v>
      </c>
      <c r="E91" s="80" t="b">
        <v>0</v>
      </c>
      <c r="F91" s="80" t="b">
        <v>0</v>
      </c>
      <c r="G91" s="80" t="b">
        <v>0</v>
      </c>
    </row>
    <row r="92" spans="1:7" ht="15">
      <c r="A92" s="81" t="s">
        <v>2519</v>
      </c>
      <c r="B92" s="80">
        <v>3</v>
      </c>
      <c r="C92" s="109">
        <v>0.002044129410679361</v>
      </c>
      <c r="D92" s="80" t="s">
        <v>2799</v>
      </c>
      <c r="E92" s="80" t="b">
        <v>0</v>
      </c>
      <c r="F92" s="80" t="b">
        <v>0</v>
      </c>
      <c r="G92" s="80" t="b">
        <v>0</v>
      </c>
    </row>
    <row r="93" spans="1:7" ht="15">
      <c r="A93" s="81" t="s">
        <v>2520</v>
      </c>
      <c r="B93" s="80">
        <v>3</v>
      </c>
      <c r="C93" s="109">
        <v>0.002044129410679361</v>
      </c>
      <c r="D93" s="80" t="s">
        <v>2799</v>
      </c>
      <c r="E93" s="80" t="b">
        <v>0</v>
      </c>
      <c r="F93" s="80" t="b">
        <v>0</v>
      </c>
      <c r="G93" s="80" t="b">
        <v>0</v>
      </c>
    </row>
    <row r="94" spans="1:7" ht="15">
      <c r="A94" s="81" t="s">
        <v>2521</v>
      </c>
      <c r="B94" s="80">
        <v>3</v>
      </c>
      <c r="C94" s="109">
        <v>0.002044129410679361</v>
      </c>
      <c r="D94" s="80" t="s">
        <v>2799</v>
      </c>
      <c r="E94" s="80" t="b">
        <v>0</v>
      </c>
      <c r="F94" s="80" t="b">
        <v>0</v>
      </c>
      <c r="G94" s="80" t="b">
        <v>0</v>
      </c>
    </row>
    <row r="95" spans="1:7" ht="15">
      <c r="A95" s="81" t="s">
        <v>2522</v>
      </c>
      <c r="B95" s="80">
        <v>3</v>
      </c>
      <c r="C95" s="109">
        <v>0.002044129410679361</v>
      </c>
      <c r="D95" s="80" t="s">
        <v>2799</v>
      </c>
      <c r="E95" s="80" t="b">
        <v>1</v>
      </c>
      <c r="F95" s="80" t="b">
        <v>0</v>
      </c>
      <c r="G95" s="80" t="b">
        <v>0</v>
      </c>
    </row>
    <row r="96" spans="1:7" ht="15">
      <c r="A96" s="81" t="s">
        <v>2523</v>
      </c>
      <c r="B96" s="80">
        <v>3</v>
      </c>
      <c r="C96" s="109">
        <v>0.002044129410679361</v>
      </c>
      <c r="D96" s="80" t="s">
        <v>2799</v>
      </c>
      <c r="E96" s="80" t="b">
        <v>0</v>
      </c>
      <c r="F96" s="80" t="b">
        <v>0</v>
      </c>
      <c r="G96" s="80" t="b">
        <v>0</v>
      </c>
    </row>
    <row r="97" spans="1:7" ht="15">
      <c r="A97" s="81" t="s">
        <v>2524</v>
      </c>
      <c r="B97" s="80">
        <v>3</v>
      </c>
      <c r="C97" s="109">
        <v>0.002044129410679361</v>
      </c>
      <c r="D97" s="80" t="s">
        <v>2799</v>
      </c>
      <c r="E97" s="80" t="b">
        <v>0</v>
      </c>
      <c r="F97" s="80" t="b">
        <v>0</v>
      </c>
      <c r="G97" s="80" t="b">
        <v>0</v>
      </c>
    </row>
    <row r="98" spans="1:7" ht="15">
      <c r="A98" s="81" t="s">
        <v>2525</v>
      </c>
      <c r="B98" s="80">
        <v>3</v>
      </c>
      <c r="C98" s="109">
        <v>0.002259399898522492</v>
      </c>
      <c r="D98" s="80" t="s">
        <v>2799</v>
      </c>
      <c r="E98" s="80" t="b">
        <v>0</v>
      </c>
      <c r="F98" s="80" t="b">
        <v>0</v>
      </c>
      <c r="G98" s="80" t="b">
        <v>0</v>
      </c>
    </row>
    <row r="99" spans="1:7" ht="15">
      <c r="A99" s="81" t="s">
        <v>2526</v>
      </c>
      <c r="B99" s="80">
        <v>3</v>
      </c>
      <c r="C99" s="109">
        <v>0.002044129410679361</v>
      </c>
      <c r="D99" s="80" t="s">
        <v>2799</v>
      </c>
      <c r="E99" s="80" t="b">
        <v>0</v>
      </c>
      <c r="F99" s="80" t="b">
        <v>0</v>
      </c>
      <c r="G99" s="80" t="b">
        <v>0</v>
      </c>
    </row>
    <row r="100" spans="1:7" ht="15">
      <c r="A100" s="81" t="s">
        <v>2527</v>
      </c>
      <c r="B100" s="80">
        <v>3</v>
      </c>
      <c r="C100" s="109">
        <v>0.0026274072281850607</v>
      </c>
      <c r="D100" s="80" t="s">
        <v>2799</v>
      </c>
      <c r="E100" s="80" t="b">
        <v>0</v>
      </c>
      <c r="F100" s="80" t="b">
        <v>0</v>
      </c>
      <c r="G100" s="80" t="b">
        <v>0</v>
      </c>
    </row>
    <row r="101" spans="1:7" ht="15">
      <c r="A101" s="81" t="s">
        <v>2528</v>
      </c>
      <c r="B101" s="80">
        <v>3</v>
      </c>
      <c r="C101" s="109">
        <v>0.002044129410679361</v>
      </c>
      <c r="D101" s="80" t="s">
        <v>2799</v>
      </c>
      <c r="E101" s="80" t="b">
        <v>0</v>
      </c>
      <c r="F101" s="80" t="b">
        <v>0</v>
      </c>
      <c r="G101" s="80" t="b">
        <v>0</v>
      </c>
    </row>
    <row r="102" spans="1:7" ht="15">
      <c r="A102" s="81" t="s">
        <v>2529</v>
      </c>
      <c r="B102" s="80">
        <v>3</v>
      </c>
      <c r="C102" s="109">
        <v>0.002044129410679361</v>
      </c>
      <c r="D102" s="80" t="s">
        <v>2799</v>
      </c>
      <c r="E102" s="80" t="b">
        <v>0</v>
      </c>
      <c r="F102" s="80" t="b">
        <v>0</v>
      </c>
      <c r="G102" s="80" t="b">
        <v>0</v>
      </c>
    </row>
    <row r="103" spans="1:7" ht="15">
      <c r="A103" s="81" t="s">
        <v>2530</v>
      </c>
      <c r="B103" s="80">
        <v>3</v>
      </c>
      <c r="C103" s="109">
        <v>0.002044129410679361</v>
      </c>
      <c r="D103" s="80" t="s">
        <v>2799</v>
      </c>
      <c r="E103" s="80" t="b">
        <v>0</v>
      </c>
      <c r="F103" s="80" t="b">
        <v>0</v>
      </c>
      <c r="G103" s="80" t="b">
        <v>0</v>
      </c>
    </row>
    <row r="104" spans="1:7" ht="15">
      <c r="A104" s="81" t="s">
        <v>2531</v>
      </c>
      <c r="B104" s="80">
        <v>3</v>
      </c>
      <c r="C104" s="109">
        <v>0.002044129410679361</v>
      </c>
      <c r="D104" s="80" t="s">
        <v>2799</v>
      </c>
      <c r="E104" s="80" t="b">
        <v>0</v>
      </c>
      <c r="F104" s="80" t="b">
        <v>0</v>
      </c>
      <c r="G104" s="80" t="b">
        <v>0</v>
      </c>
    </row>
    <row r="105" spans="1:7" ht="15">
      <c r="A105" s="81" t="s">
        <v>2532</v>
      </c>
      <c r="B105" s="80">
        <v>3</v>
      </c>
      <c r="C105" s="109">
        <v>0.002044129410679361</v>
      </c>
      <c r="D105" s="80" t="s">
        <v>2799</v>
      </c>
      <c r="E105" s="80" t="b">
        <v>0</v>
      </c>
      <c r="F105" s="80" t="b">
        <v>0</v>
      </c>
      <c r="G105" s="80" t="b">
        <v>0</v>
      </c>
    </row>
    <row r="106" spans="1:7" ht="15">
      <c r="A106" s="81" t="s">
        <v>2533</v>
      </c>
      <c r="B106" s="80">
        <v>3</v>
      </c>
      <c r="C106" s="109">
        <v>0.002044129410679361</v>
      </c>
      <c r="D106" s="80" t="s">
        <v>2799</v>
      </c>
      <c r="E106" s="80" t="b">
        <v>0</v>
      </c>
      <c r="F106" s="80" t="b">
        <v>0</v>
      </c>
      <c r="G106" s="80" t="b">
        <v>0</v>
      </c>
    </row>
    <row r="107" spans="1:7" ht="15">
      <c r="A107" s="81" t="s">
        <v>2534</v>
      </c>
      <c r="B107" s="80">
        <v>3</v>
      </c>
      <c r="C107" s="109">
        <v>0.002044129410679361</v>
      </c>
      <c r="D107" s="80" t="s">
        <v>2799</v>
      </c>
      <c r="E107" s="80" t="b">
        <v>0</v>
      </c>
      <c r="F107" s="80" t="b">
        <v>0</v>
      </c>
      <c r="G107" s="80" t="b">
        <v>0</v>
      </c>
    </row>
    <row r="108" spans="1:7" ht="15">
      <c r="A108" s="81" t="s">
        <v>2535</v>
      </c>
      <c r="B108" s="80">
        <v>3</v>
      </c>
      <c r="C108" s="109">
        <v>0.002044129410679361</v>
      </c>
      <c r="D108" s="80" t="s">
        <v>2799</v>
      </c>
      <c r="E108" s="80" t="b">
        <v>0</v>
      </c>
      <c r="F108" s="80" t="b">
        <v>0</v>
      </c>
      <c r="G108" s="80" t="b">
        <v>0</v>
      </c>
    </row>
    <row r="109" spans="1:7" ht="15">
      <c r="A109" s="81" t="s">
        <v>2536</v>
      </c>
      <c r="B109" s="80">
        <v>3</v>
      </c>
      <c r="C109" s="109">
        <v>0.002044129410679361</v>
      </c>
      <c r="D109" s="80" t="s">
        <v>2799</v>
      </c>
      <c r="E109" s="80" t="b">
        <v>0</v>
      </c>
      <c r="F109" s="80" t="b">
        <v>0</v>
      </c>
      <c r="G109" s="80" t="b">
        <v>0</v>
      </c>
    </row>
    <row r="110" spans="1:7" ht="15">
      <c r="A110" s="81" t="s">
        <v>2537</v>
      </c>
      <c r="B110" s="80">
        <v>3</v>
      </c>
      <c r="C110" s="109">
        <v>0.002044129410679361</v>
      </c>
      <c r="D110" s="80" t="s">
        <v>2799</v>
      </c>
      <c r="E110" s="80" t="b">
        <v>0</v>
      </c>
      <c r="F110" s="80" t="b">
        <v>0</v>
      </c>
      <c r="G110" s="80" t="b">
        <v>0</v>
      </c>
    </row>
    <row r="111" spans="1:7" ht="15">
      <c r="A111" s="81" t="s">
        <v>2538</v>
      </c>
      <c r="B111" s="80">
        <v>3</v>
      </c>
      <c r="C111" s="109">
        <v>0.002259399898522492</v>
      </c>
      <c r="D111" s="80" t="s">
        <v>2799</v>
      </c>
      <c r="E111" s="80" t="b">
        <v>0</v>
      </c>
      <c r="F111" s="80" t="b">
        <v>0</v>
      </c>
      <c r="G111" s="80" t="b">
        <v>0</v>
      </c>
    </row>
    <row r="112" spans="1:7" ht="15">
      <c r="A112" s="81" t="s">
        <v>2539</v>
      </c>
      <c r="B112" s="80">
        <v>3</v>
      </c>
      <c r="C112" s="109">
        <v>0.002044129410679361</v>
      </c>
      <c r="D112" s="80" t="s">
        <v>2799</v>
      </c>
      <c r="E112" s="80" t="b">
        <v>0</v>
      </c>
      <c r="F112" s="80" t="b">
        <v>0</v>
      </c>
      <c r="G112" s="80" t="b">
        <v>0</v>
      </c>
    </row>
    <row r="113" spans="1:7" ht="15">
      <c r="A113" s="81" t="s">
        <v>2540</v>
      </c>
      <c r="B113" s="80">
        <v>3</v>
      </c>
      <c r="C113" s="109">
        <v>0.002259399898522492</v>
      </c>
      <c r="D113" s="80" t="s">
        <v>2799</v>
      </c>
      <c r="E113" s="80" t="b">
        <v>1</v>
      </c>
      <c r="F113" s="80" t="b">
        <v>0</v>
      </c>
      <c r="G113" s="80" t="b">
        <v>0</v>
      </c>
    </row>
    <row r="114" spans="1:7" ht="15">
      <c r="A114" s="81" t="s">
        <v>2541</v>
      </c>
      <c r="B114" s="80">
        <v>3</v>
      </c>
      <c r="C114" s="109">
        <v>0.002044129410679361</v>
      </c>
      <c r="D114" s="80" t="s">
        <v>2799</v>
      </c>
      <c r="E114" s="80" t="b">
        <v>0</v>
      </c>
      <c r="F114" s="80" t="b">
        <v>0</v>
      </c>
      <c r="G114" s="80" t="b">
        <v>0</v>
      </c>
    </row>
    <row r="115" spans="1:7" ht="15">
      <c r="A115" s="81" t="s">
        <v>2542</v>
      </c>
      <c r="B115" s="80">
        <v>3</v>
      </c>
      <c r="C115" s="109">
        <v>0.002259399898522492</v>
      </c>
      <c r="D115" s="80" t="s">
        <v>2799</v>
      </c>
      <c r="E115" s="80" t="b">
        <v>0</v>
      </c>
      <c r="F115" s="80" t="b">
        <v>0</v>
      </c>
      <c r="G115" s="80" t="b">
        <v>0</v>
      </c>
    </row>
    <row r="116" spans="1:7" ht="15">
      <c r="A116" s="81" t="s">
        <v>2543</v>
      </c>
      <c r="B116" s="80">
        <v>3</v>
      </c>
      <c r="C116" s="109">
        <v>0.002044129410679361</v>
      </c>
      <c r="D116" s="80" t="s">
        <v>2799</v>
      </c>
      <c r="E116" s="80" t="b">
        <v>0</v>
      </c>
      <c r="F116" s="80" t="b">
        <v>0</v>
      </c>
      <c r="G116" s="80" t="b">
        <v>0</v>
      </c>
    </row>
    <row r="117" spans="1:7" ht="15">
      <c r="A117" s="81" t="s">
        <v>2544</v>
      </c>
      <c r="B117" s="80">
        <v>3</v>
      </c>
      <c r="C117" s="109">
        <v>0.002044129410679361</v>
      </c>
      <c r="D117" s="80" t="s">
        <v>2799</v>
      </c>
      <c r="E117" s="80" t="b">
        <v>0</v>
      </c>
      <c r="F117" s="80" t="b">
        <v>0</v>
      </c>
      <c r="G117" s="80" t="b">
        <v>0</v>
      </c>
    </row>
    <row r="118" spans="1:7" ht="15">
      <c r="A118" s="81" t="s">
        <v>2545</v>
      </c>
      <c r="B118" s="80">
        <v>3</v>
      </c>
      <c r="C118" s="109">
        <v>0.002044129410679361</v>
      </c>
      <c r="D118" s="80" t="s">
        <v>2799</v>
      </c>
      <c r="E118" s="80" t="b">
        <v>0</v>
      </c>
      <c r="F118" s="80" t="b">
        <v>0</v>
      </c>
      <c r="G118" s="80" t="b">
        <v>0</v>
      </c>
    </row>
    <row r="119" spans="1:7" ht="15">
      <c r="A119" s="81" t="s">
        <v>2546</v>
      </c>
      <c r="B119" s="80">
        <v>3</v>
      </c>
      <c r="C119" s="109">
        <v>0.002044129410679361</v>
      </c>
      <c r="D119" s="80" t="s">
        <v>2799</v>
      </c>
      <c r="E119" s="80" t="b">
        <v>1</v>
      </c>
      <c r="F119" s="80" t="b">
        <v>0</v>
      </c>
      <c r="G119" s="80" t="b">
        <v>0</v>
      </c>
    </row>
    <row r="120" spans="1:7" ht="15">
      <c r="A120" s="81" t="s">
        <v>2547</v>
      </c>
      <c r="B120" s="80">
        <v>3</v>
      </c>
      <c r="C120" s="109">
        <v>0.002044129410679361</v>
      </c>
      <c r="D120" s="80" t="s">
        <v>2799</v>
      </c>
      <c r="E120" s="80" t="b">
        <v>0</v>
      </c>
      <c r="F120" s="80" t="b">
        <v>0</v>
      </c>
      <c r="G120" s="80" t="b">
        <v>0</v>
      </c>
    </row>
    <row r="121" spans="1:7" ht="15">
      <c r="A121" s="81" t="s">
        <v>2548</v>
      </c>
      <c r="B121" s="80">
        <v>3</v>
      </c>
      <c r="C121" s="109">
        <v>0.002044129410679361</v>
      </c>
      <c r="D121" s="80" t="s">
        <v>2799</v>
      </c>
      <c r="E121" s="80" t="b">
        <v>0</v>
      </c>
      <c r="F121" s="80" t="b">
        <v>0</v>
      </c>
      <c r="G121" s="80" t="b">
        <v>0</v>
      </c>
    </row>
    <row r="122" spans="1:7" ht="15">
      <c r="A122" s="81" t="s">
        <v>2549</v>
      </c>
      <c r="B122" s="80">
        <v>3</v>
      </c>
      <c r="C122" s="109">
        <v>0.002044129410679361</v>
      </c>
      <c r="D122" s="80" t="s">
        <v>2799</v>
      </c>
      <c r="E122" s="80" t="b">
        <v>0</v>
      </c>
      <c r="F122" s="80" t="b">
        <v>0</v>
      </c>
      <c r="G122" s="80" t="b">
        <v>0</v>
      </c>
    </row>
    <row r="123" spans="1:7" ht="15">
      <c r="A123" s="81" t="s">
        <v>2550</v>
      </c>
      <c r="B123" s="80">
        <v>3</v>
      </c>
      <c r="C123" s="109">
        <v>0.002044129410679361</v>
      </c>
      <c r="D123" s="80" t="s">
        <v>2799</v>
      </c>
      <c r="E123" s="80" t="b">
        <v>0</v>
      </c>
      <c r="F123" s="80" t="b">
        <v>0</v>
      </c>
      <c r="G123" s="80" t="b">
        <v>0</v>
      </c>
    </row>
    <row r="124" spans="1:7" ht="15">
      <c r="A124" s="81" t="s">
        <v>2551</v>
      </c>
      <c r="B124" s="80">
        <v>3</v>
      </c>
      <c r="C124" s="109">
        <v>0.002259399898522492</v>
      </c>
      <c r="D124" s="80" t="s">
        <v>2799</v>
      </c>
      <c r="E124" s="80" t="b">
        <v>0</v>
      </c>
      <c r="F124" s="80" t="b">
        <v>0</v>
      </c>
      <c r="G124" s="80" t="b">
        <v>0</v>
      </c>
    </row>
    <row r="125" spans="1:7" ht="15">
      <c r="A125" s="81" t="s">
        <v>2552</v>
      </c>
      <c r="B125" s="80">
        <v>3</v>
      </c>
      <c r="C125" s="109">
        <v>0.002044129410679361</v>
      </c>
      <c r="D125" s="80" t="s">
        <v>2799</v>
      </c>
      <c r="E125" s="80" t="b">
        <v>0</v>
      </c>
      <c r="F125" s="80" t="b">
        <v>0</v>
      </c>
      <c r="G125" s="80" t="b">
        <v>0</v>
      </c>
    </row>
    <row r="126" spans="1:7" ht="15">
      <c r="A126" s="81" t="s">
        <v>2553</v>
      </c>
      <c r="B126" s="80">
        <v>3</v>
      </c>
      <c r="C126" s="109">
        <v>0.002259399898522492</v>
      </c>
      <c r="D126" s="80" t="s">
        <v>2799</v>
      </c>
      <c r="E126" s="80" t="b">
        <v>0</v>
      </c>
      <c r="F126" s="80" t="b">
        <v>0</v>
      </c>
      <c r="G126" s="80" t="b">
        <v>0</v>
      </c>
    </row>
    <row r="127" spans="1:7" ht="15">
      <c r="A127" s="81" t="s">
        <v>2554</v>
      </c>
      <c r="B127" s="80">
        <v>3</v>
      </c>
      <c r="C127" s="109">
        <v>0.002044129410679361</v>
      </c>
      <c r="D127" s="80" t="s">
        <v>2799</v>
      </c>
      <c r="E127" s="80" t="b">
        <v>0</v>
      </c>
      <c r="F127" s="80" t="b">
        <v>0</v>
      </c>
      <c r="G127" s="80" t="b">
        <v>0</v>
      </c>
    </row>
    <row r="128" spans="1:7" ht="15">
      <c r="A128" s="81" t="s">
        <v>2555</v>
      </c>
      <c r="B128" s="80">
        <v>3</v>
      </c>
      <c r="C128" s="109">
        <v>0.002044129410679361</v>
      </c>
      <c r="D128" s="80" t="s">
        <v>2799</v>
      </c>
      <c r="E128" s="80" t="b">
        <v>0</v>
      </c>
      <c r="F128" s="80" t="b">
        <v>0</v>
      </c>
      <c r="G128" s="80" t="b">
        <v>0</v>
      </c>
    </row>
    <row r="129" spans="1:7" ht="15">
      <c r="A129" s="81" t="s">
        <v>2556</v>
      </c>
      <c r="B129" s="80">
        <v>3</v>
      </c>
      <c r="C129" s="109">
        <v>0.002044129410679361</v>
      </c>
      <c r="D129" s="80" t="s">
        <v>2799</v>
      </c>
      <c r="E129" s="80" t="b">
        <v>0</v>
      </c>
      <c r="F129" s="80" t="b">
        <v>0</v>
      </c>
      <c r="G129" s="80" t="b">
        <v>0</v>
      </c>
    </row>
    <row r="130" spans="1:7" ht="15">
      <c r="A130" s="81" t="s">
        <v>2557</v>
      </c>
      <c r="B130" s="80">
        <v>3</v>
      </c>
      <c r="C130" s="109">
        <v>0.002044129410679361</v>
      </c>
      <c r="D130" s="80" t="s">
        <v>2799</v>
      </c>
      <c r="E130" s="80" t="b">
        <v>0</v>
      </c>
      <c r="F130" s="80" t="b">
        <v>0</v>
      </c>
      <c r="G130" s="80" t="b">
        <v>0</v>
      </c>
    </row>
    <row r="131" spans="1:7" ht="15">
      <c r="A131" s="81" t="s">
        <v>2558</v>
      </c>
      <c r="B131" s="80">
        <v>3</v>
      </c>
      <c r="C131" s="109">
        <v>0.002044129410679361</v>
      </c>
      <c r="D131" s="80" t="s">
        <v>2799</v>
      </c>
      <c r="E131" s="80" t="b">
        <v>0</v>
      </c>
      <c r="F131" s="80" t="b">
        <v>0</v>
      </c>
      <c r="G131" s="80" t="b">
        <v>0</v>
      </c>
    </row>
    <row r="132" spans="1:7" ht="15">
      <c r="A132" s="81" t="s">
        <v>2559</v>
      </c>
      <c r="B132" s="80">
        <v>3</v>
      </c>
      <c r="C132" s="109">
        <v>0.002044129410679361</v>
      </c>
      <c r="D132" s="80" t="s">
        <v>2799</v>
      </c>
      <c r="E132" s="80" t="b">
        <v>0</v>
      </c>
      <c r="F132" s="80" t="b">
        <v>0</v>
      </c>
      <c r="G132" s="80" t="b">
        <v>0</v>
      </c>
    </row>
    <row r="133" spans="1:7" ht="15">
      <c r="A133" s="81" t="s">
        <v>2560</v>
      </c>
      <c r="B133" s="80">
        <v>3</v>
      </c>
      <c r="C133" s="109">
        <v>0.002044129410679361</v>
      </c>
      <c r="D133" s="80" t="s">
        <v>2799</v>
      </c>
      <c r="E133" s="80" t="b">
        <v>0</v>
      </c>
      <c r="F133" s="80" t="b">
        <v>0</v>
      </c>
      <c r="G133" s="80" t="b">
        <v>0</v>
      </c>
    </row>
    <row r="134" spans="1:7" ht="15">
      <c r="A134" s="81" t="s">
        <v>2561</v>
      </c>
      <c r="B134" s="80">
        <v>3</v>
      </c>
      <c r="C134" s="109">
        <v>0.002044129410679361</v>
      </c>
      <c r="D134" s="80" t="s">
        <v>2799</v>
      </c>
      <c r="E134" s="80" t="b">
        <v>0</v>
      </c>
      <c r="F134" s="80" t="b">
        <v>0</v>
      </c>
      <c r="G134" s="80" t="b">
        <v>0</v>
      </c>
    </row>
    <row r="135" spans="1:7" ht="15">
      <c r="A135" s="81" t="s">
        <v>2562</v>
      </c>
      <c r="B135" s="80">
        <v>3</v>
      </c>
      <c r="C135" s="109">
        <v>0.002044129410679361</v>
      </c>
      <c r="D135" s="80" t="s">
        <v>2799</v>
      </c>
      <c r="E135" s="80" t="b">
        <v>0</v>
      </c>
      <c r="F135" s="80" t="b">
        <v>0</v>
      </c>
      <c r="G135" s="80" t="b">
        <v>0</v>
      </c>
    </row>
    <row r="136" spans="1:7" ht="15">
      <c r="A136" s="81" t="s">
        <v>2563</v>
      </c>
      <c r="B136" s="80">
        <v>3</v>
      </c>
      <c r="C136" s="109">
        <v>0.002044129410679361</v>
      </c>
      <c r="D136" s="80" t="s">
        <v>2799</v>
      </c>
      <c r="E136" s="80" t="b">
        <v>0</v>
      </c>
      <c r="F136" s="80" t="b">
        <v>0</v>
      </c>
      <c r="G136" s="80" t="b">
        <v>0</v>
      </c>
    </row>
    <row r="137" spans="1:7" ht="15">
      <c r="A137" s="81" t="s">
        <v>2564</v>
      </c>
      <c r="B137" s="80">
        <v>3</v>
      </c>
      <c r="C137" s="109">
        <v>0.002044129410679361</v>
      </c>
      <c r="D137" s="80" t="s">
        <v>2799</v>
      </c>
      <c r="E137" s="80" t="b">
        <v>0</v>
      </c>
      <c r="F137" s="80" t="b">
        <v>0</v>
      </c>
      <c r="G137" s="80" t="b">
        <v>0</v>
      </c>
    </row>
    <row r="138" spans="1:7" ht="15">
      <c r="A138" s="81" t="s">
        <v>2565</v>
      </c>
      <c r="B138" s="80">
        <v>3</v>
      </c>
      <c r="C138" s="109">
        <v>0.002044129410679361</v>
      </c>
      <c r="D138" s="80" t="s">
        <v>2799</v>
      </c>
      <c r="E138" s="80" t="b">
        <v>0</v>
      </c>
      <c r="F138" s="80" t="b">
        <v>0</v>
      </c>
      <c r="G138" s="80" t="b">
        <v>0</v>
      </c>
    </row>
    <row r="139" spans="1:7" ht="15">
      <c r="A139" s="81" t="s">
        <v>2566</v>
      </c>
      <c r="B139" s="80">
        <v>3</v>
      </c>
      <c r="C139" s="109">
        <v>0.002044129410679361</v>
      </c>
      <c r="D139" s="80" t="s">
        <v>2799</v>
      </c>
      <c r="E139" s="80" t="b">
        <v>0</v>
      </c>
      <c r="F139" s="80" t="b">
        <v>0</v>
      </c>
      <c r="G139" s="80" t="b">
        <v>0</v>
      </c>
    </row>
    <row r="140" spans="1:7" ht="15">
      <c r="A140" s="81" t="s">
        <v>2567</v>
      </c>
      <c r="B140" s="80">
        <v>3</v>
      </c>
      <c r="C140" s="109">
        <v>0.002259399898522492</v>
      </c>
      <c r="D140" s="80" t="s">
        <v>2799</v>
      </c>
      <c r="E140" s="80" t="b">
        <v>0</v>
      </c>
      <c r="F140" s="80" t="b">
        <v>0</v>
      </c>
      <c r="G140" s="80" t="b">
        <v>0</v>
      </c>
    </row>
    <row r="141" spans="1:7" ht="15">
      <c r="A141" s="81" t="s">
        <v>2568</v>
      </c>
      <c r="B141" s="80">
        <v>3</v>
      </c>
      <c r="C141" s="109">
        <v>0.002259399898522492</v>
      </c>
      <c r="D141" s="80" t="s">
        <v>2799</v>
      </c>
      <c r="E141" s="80" t="b">
        <v>0</v>
      </c>
      <c r="F141" s="80" t="b">
        <v>0</v>
      </c>
      <c r="G141" s="80" t="b">
        <v>0</v>
      </c>
    </row>
    <row r="142" spans="1:7" ht="15">
      <c r="A142" s="81" t="s">
        <v>2569</v>
      </c>
      <c r="B142" s="80">
        <v>3</v>
      </c>
      <c r="C142" s="109">
        <v>0.002044129410679361</v>
      </c>
      <c r="D142" s="80" t="s">
        <v>2799</v>
      </c>
      <c r="E142" s="80" t="b">
        <v>0</v>
      </c>
      <c r="F142" s="80" t="b">
        <v>1</v>
      </c>
      <c r="G142" s="80" t="b">
        <v>0</v>
      </c>
    </row>
    <row r="143" spans="1:7" ht="15">
      <c r="A143" s="81" t="s">
        <v>2570</v>
      </c>
      <c r="B143" s="80">
        <v>3</v>
      </c>
      <c r="C143" s="109">
        <v>0.002259399898522492</v>
      </c>
      <c r="D143" s="80" t="s">
        <v>2799</v>
      </c>
      <c r="E143" s="80" t="b">
        <v>0</v>
      </c>
      <c r="F143" s="80" t="b">
        <v>0</v>
      </c>
      <c r="G143" s="80" t="b">
        <v>0</v>
      </c>
    </row>
    <row r="144" spans="1:7" ht="15">
      <c r="A144" s="81" t="s">
        <v>2571</v>
      </c>
      <c r="B144" s="80">
        <v>3</v>
      </c>
      <c r="C144" s="109">
        <v>0.002044129410679361</v>
      </c>
      <c r="D144" s="80" t="s">
        <v>2799</v>
      </c>
      <c r="E144" s="80" t="b">
        <v>0</v>
      </c>
      <c r="F144" s="80" t="b">
        <v>0</v>
      </c>
      <c r="G144" s="80" t="b">
        <v>0</v>
      </c>
    </row>
    <row r="145" spans="1:7" ht="15">
      <c r="A145" s="81" t="s">
        <v>2572</v>
      </c>
      <c r="B145" s="80">
        <v>3</v>
      </c>
      <c r="C145" s="109">
        <v>0.002044129410679361</v>
      </c>
      <c r="D145" s="80" t="s">
        <v>2799</v>
      </c>
      <c r="E145" s="80" t="b">
        <v>0</v>
      </c>
      <c r="F145" s="80" t="b">
        <v>0</v>
      </c>
      <c r="G145" s="80" t="b">
        <v>0</v>
      </c>
    </row>
    <row r="146" spans="1:7" ht="15">
      <c r="A146" s="81" t="s">
        <v>2573</v>
      </c>
      <c r="B146" s="80">
        <v>3</v>
      </c>
      <c r="C146" s="109">
        <v>0.002044129410679361</v>
      </c>
      <c r="D146" s="80" t="s">
        <v>2799</v>
      </c>
      <c r="E146" s="80" t="b">
        <v>0</v>
      </c>
      <c r="F146" s="80" t="b">
        <v>0</v>
      </c>
      <c r="G146" s="80" t="b">
        <v>0</v>
      </c>
    </row>
    <row r="147" spans="1:7" ht="15">
      <c r="A147" s="81" t="s">
        <v>2574</v>
      </c>
      <c r="B147" s="80">
        <v>3</v>
      </c>
      <c r="C147" s="109">
        <v>0.002044129410679361</v>
      </c>
      <c r="D147" s="80" t="s">
        <v>2799</v>
      </c>
      <c r="E147" s="80" t="b">
        <v>0</v>
      </c>
      <c r="F147" s="80" t="b">
        <v>0</v>
      </c>
      <c r="G147" s="80" t="b">
        <v>0</v>
      </c>
    </row>
    <row r="148" spans="1:7" ht="15">
      <c r="A148" s="81" t="s">
        <v>2575</v>
      </c>
      <c r="B148" s="80">
        <v>3</v>
      </c>
      <c r="C148" s="109">
        <v>0.002044129410679361</v>
      </c>
      <c r="D148" s="80" t="s">
        <v>2799</v>
      </c>
      <c r="E148" s="80" t="b">
        <v>0</v>
      </c>
      <c r="F148" s="80" t="b">
        <v>0</v>
      </c>
      <c r="G148" s="80" t="b">
        <v>0</v>
      </c>
    </row>
    <row r="149" spans="1:7" ht="15">
      <c r="A149" s="81" t="s">
        <v>2576</v>
      </c>
      <c r="B149" s="80">
        <v>3</v>
      </c>
      <c r="C149" s="109">
        <v>0.002044129410679361</v>
      </c>
      <c r="D149" s="80" t="s">
        <v>2799</v>
      </c>
      <c r="E149" s="80" t="b">
        <v>0</v>
      </c>
      <c r="F149" s="80" t="b">
        <v>0</v>
      </c>
      <c r="G149" s="80" t="b">
        <v>0</v>
      </c>
    </row>
    <row r="150" spans="1:7" ht="15">
      <c r="A150" s="81" t="s">
        <v>2577</v>
      </c>
      <c r="B150" s="80">
        <v>3</v>
      </c>
      <c r="C150" s="109">
        <v>0.002044129410679361</v>
      </c>
      <c r="D150" s="80" t="s">
        <v>2799</v>
      </c>
      <c r="E150" s="80" t="b">
        <v>0</v>
      </c>
      <c r="F150" s="80" t="b">
        <v>0</v>
      </c>
      <c r="G150" s="80" t="b">
        <v>0</v>
      </c>
    </row>
    <row r="151" spans="1:7" ht="15">
      <c r="A151" s="81" t="s">
        <v>2578</v>
      </c>
      <c r="B151" s="80">
        <v>3</v>
      </c>
      <c r="C151" s="109">
        <v>0.002044129410679361</v>
      </c>
      <c r="D151" s="80" t="s">
        <v>2799</v>
      </c>
      <c r="E151" s="80" t="b">
        <v>0</v>
      </c>
      <c r="F151" s="80" t="b">
        <v>0</v>
      </c>
      <c r="G151" s="80" t="b">
        <v>0</v>
      </c>
    </row>
    <row r="152" spans="1:7" ht="15">
      <c r="A152" s="81" t="s">
        <v>2579</v>
      </c>
      <c r="B152" s="80">
        <v>3</v>
      </c>
      <c r="C152" s="109">
        <v>0.002044129410679361</v>
      </c>
      <c r="D152" s="80" t="s">
        <v>2799</v>
      </c>
      <c r="E152" s="80" t="b">
        <v>0</v>
      </c>
      <c r="F152" s="80" t="b">
        <v>0</v>
      </c>
      <c r="G152" s="80" t="b">
        <v>0</v>
      </c>
    </row>
    <row r="153" spans="1:7" ht="15">
      <c r="A153" s="81" t="s">
        <v>2580</v>
      </c>
      <c r="B153" s="80">
        <v>3</v>
      </c>
      <c r="C153" s="109">
        <v>0.002044129410679361</v>
      </c>
      <c r="D153" s="80" t="s">
        <v>2799</v>
      </c>
      <c r="E153" s="80" t="b">
        <v>0</v>
      </c>
      <c r="F153" s="80" t="b">
        <v>0</v>
      </c>
      <c r="G153" s="80" t="b">
        <v>0</v>
      </c>
    </row>
    <row r="154" spans="1:7" ht="15">
      <c r="A154" s="81" t="s">
        <v>2581</v>
      </c>
      <c r="B154" s="80">
        <v>3</v>
      </c>
      <c r="C154" s="109">
        <v>0.002044129410679361</v>
      </c>
      <c r="D154" s="80" t="s">
        <v>2799</v>
      </c>
      <c r="E154" s="80" t="b">
        <v>0</v>
      </c>
      <c r="F154" s="80" t="b">
        <v>0</v>
      </c>
      <c r="G154" s="80" t="b">
        <v>0</v>
      </c>
    </row>
    <row r="155" spans="1:7" ht="15">
      <c r="A155" s="81" t="s">
        <v>2582</v>
      </c>
      <c r="B155" s="80">
        <v>3</v>
      </c>
      <c r="C155" s="109">
        <v>0.002259399898522492</v>
      </c>
      <c r="D155" s="80" t="s">
        <v>2799</v>
      </c>
      <c r="E155" s="80" t="b">
        <v>0</v>
      </c>
      <c r="F155" s="80" t="b">
        <v>0</v>
      </c>
      <c r="G155" s="80" t="b">
        <v>0</v>
      </c>
    </row>
    <row r="156" spans="1:7" ht="15">
      <c r="A156" s="81" t="s">
        <v>2583</v>
      </c>
      <c r="B156" s="80">
        <v>3</v>
      </c>
      <c r="C156" s="109">
        <v>0.002044129410679361</v>
      </c>
      <c r="D156" s="80" t="s">
        <v>2799</v>
      </c>
      <c r="E156" s="80" t="b">
        <v>0</v>
      </c>
      <c r="F156" s="80" t="b">
        <v>1</v>
      </c>
      <c r="G156" s="80" t="b">
        <v>0</v>
      </c>
    </row>
    <row r="157" spans="1:7" ht="15">
      <c r="A157" s="81" t="s">
        <v>2584</v>
      </c>
      <c r="B157" s="80">
        <v>3</v>
      </c>
      <c r="C157" s="109">
        <v>0.002044129410679361</v>
      </c>
      <c r="D157" s="80" t="s">
        <v>2799</v>
      </c>
      <c r="E157" s="80" t="b">
        <v>0</v>
      </c>
      <c r="F157" s="80" t="b">
        <v>0</v>
      </c>
      <c r="G157" s="80" t="b">
        <v>0</v>
      </c>
    </row>
    <row r="158" spans="1:7" ht="15">
      <c r="A158" s="81" t="s">
        <v>2585</v>
      </c>
      <c r="B158" s="80">
        <v>3</v>
      </c>
      <c r="C158" s="109">
        <v>0.002044129410679361</v>
      </c>
      <c r="D158" s="80" t="s">
        <v>2799</v>
      </c>
      <c r="E158" s="80" t="b">
        <v>0</v>
      </c>
      <c r="F158" s="80" t="b">
        <v>0</v>
      </c>
      <c r="G158" s="80" t="b">
        <v>0</v>
      </c>
    </row>
    <row r="159" spans="1:7" ht="15">
      <c r="A159" s="81" t="s">
        <v>2586</v>
      </c>
      <c r="B159" s="80">
        <v>3</v>
      </c>
      <c r="C159" s="109">
        <v>0.002044129410679361</v>
      </c>
      <c r="D159" s="80" t="s">
        <v>2799</v>
      </c>
      <c r="E159" s="80" t="b">
        <v>0</v>
      </c>
      <c r="F159" s="80" t="b">
        <v>0</v>
      </c>
      <c r="G159" s="80" t="b">
        <v>0</v>
      </c>
    </row>
    <row r="160" spans="1:7" ht="15">
      <c r="A160" s="81" t="s">
        <v>2587</v>
      </c>
      <c r="B160" s="80">
        <v>3</v>
      </c>
      <c r="C160" s="109">
        <v>0.002044129410679361</v>
      </c>
      <c r="D160" s="80" t="s">
        <v>2799</v>
      </c>
      <c r="E160" s="80" t="b">
        <v>0</v>
      </c>
      <c r="F160" s="80" t="b">
        <v>0</v>
      </c>
      <c r="G160" s="80" t="b">
        <v>0</v>
      </c>
    </row>
    <row r="161" spans="1:7" ht="15">
      <c r="A161" s="81" t="s">
        <v>2588</v>
      </c>
      <c r="B161" s="80">
        <v>3</v>
      </c>
      <c r="C161" s="109">
        <v>0.0026274072281850607</v>
      </c>
      <c r="D161" s="80" t="s">
        <v>2799</v>
      </c>
      <c r="E161" s="80" t="b">
        <v>0</v>
      </c>
      <c r="F161" s="80" t="b">
        <v>0</v>
      </c>
      <c r="G161" s="80" t="b">
        <v>0</v>
      </c>
    </row>
    <row r="162" spans="1:7" ht="15">
      <c r="A162" s="81" t="s">
        <v>2589</v>
      </c>
      <c r="B162" s="80">
        <v>3</v>
      </c>
      <c r="C162" s="109">
        <v>0.002044129410679361</v>
      </c>
      <c r="D162" s="80" t="s">
        <v>2799</v>
      </c>
      <c r="E162" s="80" t="b">
        <v>0</v>
      </c>
      <c r="F162" s="80" t="b">
        <v>0</v>
      </c>
      <c r="G162" s="80" t="b">
        <v>0</v>
      </c>
    </row>
    <row r="163" spans="1:7" ht="15">
      <c r="A163" s="81" t="s">
        <v>2590</v>
      </c>
      <c r="B163" s="80">
        <v>3</v>
      </c>
      <c r="C163" s="109">
        <v>0.002044129410679361</v>
      </c>
      <c r="D163" s="80" t="s">
        <v>2799</v>
      </c>
      <c r="E163" s="80" t="b">
        <v>0</v>
      </c>
      <c r="F163" s="80" t="b">
        <v>0</v>
      </c>
      <c r="G163" s="80" t="b">
        <v>0</v>
      </c>
    </row>
    <row r="164" spans="1:7" ht="15">
      <c r="A164" s="81" t="s">
        <v>2591</v>
      </c>
      <c r="B164" s="80">
        <v>3</v>
      </c>
      <c r="C164" s="109">
        <v>0.002044129410679361</v>
      </c>
      <c r="D164" s="80" t="s">
        <v>2799</v>
      </c>
      <c r="E164" s="80" t="b">
        <v>0</v>
      </c>
      <c r="F164" s="80" t="b">
        <v>0</v>
      </c>
      <c r="G164" s="80" t="b">
        <v>0</v>
      </c>
    </row>
    <row r="165" spans="1:7" ht="15">
      <c r="A165" s="81" t="s">
        <v>2592</v>
      </c>
      <c r="B165" s="80">
        <v>3</v>
      </c>
      <c r="C165" s="109">
        <v>0.002044129410679361</v>
      </c>
      <c r="D165" s="80" t="s">
        <v>2799</v>
      </c>
      <c r="E165" s="80" t="b">
        <v>0</v>
      </c>
      <c r="F165" s="80" t="b">
        <v>0</v>
      </c>
      <c r="G165" s="80" t="b">
        <v>0</v>
      </c>
    </row>
    <row r="166" spans="1:7" ht="15">
      <c r="A166" s="81" t="s">
        <v>2593</v>
      </c>
      <c r="B166" s="80">
        <v>3</v>
      </c>
      <c r="C166" s="109">
        <v>0.002044129410679361</v>
      </c>
      <c r="D166" s="80" t="s">
        <v>2799</v>
      </c>
      <c r="E166" s="80" t="b">
        <v>1</v>
      </c>
      <c r="F166" s="80" t="b">
        <v>0</v>
      </c>
      <c r="G166" s="80" t="b">
        <v>0</v>
      </c>
    </row>
    <row r="167" spans="1:7" ht="15">
      <c r="A167" s="81" t="s">
        <v>2594</v>
      </c>
      <c r="B167" s="80">
        <v>3</v>
      </c>
      <c r="C167" s="109">
        <v>0.002044129410679361</v>
      </c>
      <c r="D167" s="80" t="s">
        <v>2799</v>
      </c>
      <c r="E167" s="80" t="b">
        <v>0</v>
      </c>
      <c r="F167" s="80" t="b">
        <v>0</v>
      </c>
      <c r="G167" s="80" t="b">
        <v>0</v>
      </c>
    </row>
    <row r="168" spans="1:7" ht="15">
      <c r="A168" s="81" t="s">
        <v>2595</v>
      </c>
      <c r="B168" s="80">
        <v>3</v>
      </c>
      <c r="C168" s="109">
        <v>0.002044129410679361</v>
      </c>
      <c r="D168" s="80" t="s">
        <v>2799</v>
      </c>
      <c r="E168" s="80" t="b">
        <v>0</v>
      </c>
      <c r="F168" s="80" t="b">
        <v>0</v>
      </c>
      <c r="G168" s="80" t="b">
        <v>0</v>
      </c>
    </row>
    <row r="169" spans="1:7" ht="15">
      <c r="A169" s="81" t="s">
        <v>2596</v>
      </c>
      <c r="B169" s="80">
        <v>3</v>
      </c>
      <c r="C169" s="109">
        <v>0.002044129410679361</v>
      </c>
      <c r="D169" s="80" t="s">
        <v>2799</v>
      </c>
      <c r="E169" s="80" t="b">
        <v>0</v>
      </c>
      <c r="F169" s="80" t="b">
        <v>0</v>
      </c>
      <c r="G169" s="80" t="b">
        <v>0</v>
      </c>
    </row>
    <row r="170" spans="1:7" ht="15">
      <c r="A170" s="81" t="s">
        <v>2597</v>
      </c>
      <c r="B170" s="80">
        <v>3</v>
      </c>
      <c r="C170" s="109">
        <v>0.002044129410679361</v>
      </c>
      <c r="D170" s="80" t="s">
        <v>2799</v>
      </c>
      <c r="E170" s="80" t="b">
        <v>0</v>
      </c>
      <c r="F170" s="80" t="b">
        <v>0</v>
      </c>
      <c r="G170" s="80" t="b">
        <v>0</v>
      </c>
    </row>
    <row r="171" spans="1:7" ht="15">
      <c r="A171" s="81" t="s">
        <v>2598</v>
      </c>
      <c r="B171" s="80">
        <v>2</v>
      </c>
      <c r="C171" s="109">
        <v>0.0015062665990149948</v>
      </c>
      <c r="D171" s="80" t="s">
        <v>2799</v>
      </c>
      <c r="E171" s="80" t="b">
        <v>0</v>
      </c>
      <c r="F171" s="80" t="b">
        <v>0</v>
      </c>
      <c r="G171" s="80" t="b">
        <v>0</v>
      </c>
    </row>
    <row r="172" spans="1:7" ht="15">
      <c r="A172" s="81" t="s">
        <v>2599</v>
      </c>
      <c r="B172" s="80">
        <v>2</v>
      </c>
      <c r="C172" s="109">
        <v>0.0015062665990149948</v>
      </c>
      <c r="D172" s="80" t="s">
        <v>2799</v>
      </c>
      <c r="E172" s="80" t="b">
        <v>0</v>
      </c>
      <c r="F172" s="80" t="b">
        <v>1</v>
      </c>
      <c r="G172" s="80" t="b">
        <v>0</v>
      </c>
    </row>
    <row r="173" spans="1:7" ht="15">
      <c r="A173" s="81" t="s">
        <v>2600</v>
      </c>
      <c r="B173" s="80">
        <v>2</v>
      </c>
      <c r="C173" s="109">
        <v>0.0017516048187900405</v>
      </c>
      <c r="D173" s="80" t="s">
        <v>2799</v>
      </c>
      <c r="E173" s="80" t="b">
        <v>0</v>
      </c>
      <c r="F173" s="80" t="b">
        <v>0</v>
      </c>
      <c r="G173" s="80" t="b">
        <v>0</v>
      </c>
    </row>
    <row r="174" spans="1:7" ht="15">
      <c r="A174" s="81" t="s">
        <v>2601</v>
      </c>
      <c r="B174" s="80">
        <v>2</v>
      </c>
      <c r="C174" s="109">
        <v>0.0015062665990149948</v>
      </c>
      <c r="D174" s="80" t="s">
        <v>2799</v>
      </c>
      <c r="E174" s="80" t="b">
        <v>0</v>
      </c>
      <c r="F174" s="80" t="b">
        <v>0</v>
      </c>
      <c r="G174" s="80" t="b">
        <v>0</v>
      </c>
    </row>
    <row r="175" spans="1:7" ht="15">
      <c r="A175" s="81" t="s">
        <v>2602</v>
      </c>
      <c r="B175" s="80">
        <v>2</v>
      </c>
      <c r="C175" s="109">
        <v>0.0015062665990149948</v>
      </c>
      <c r="D175" s="80" t="s">
        <v>2799</v>
      </c>
      <c r="E175" s="80" t="b">
        <v>0</v>
      </c>
      <c r="F175" s="80" t="b">
        <v>0</v>
      </c>
      <c r="G175" s="80" t="b">
        <v>0</v>
      </c>
    </row>
    <row r="176" spans="1:7" ht="15">
      <c r="A176" s="81" t="s">
        <v>2603</v>
      </c>
      <c r="B176" s="80">
        <v>2</v>
      </c>
      <c r="C176" s="109">
        <v>0.0015062665990149948</v>
      </c>
      <c r="D176" s="80" t="s">
        <v>2799</v>
      </c>
      <c r="E176" s="80" t="b">
        <v>0</v>
      </c>
      <c r="F176" s="80" t="b">
        <v>0</v>
      </c>
      <c r="G176" s="80" t="b">
        <v>0</v>
      </c>
    </row>
    <row r="177" spans="1:7" ht="15">
      <c r="A177" s="81" t="s">
        <v>2604</v>
      </c>
      <c r="B177" s="80">
        <v>2</v>
      </c>
      <c r="C177" s="109">
        <v>0.0017516048187900405</v>
      </c>
      <c r="D177" s="80" t="s">
        <v>2799</v>
      </c>
      <c r="E177" s="80" t="b">
        <v>0</v>
      </c>
      <c r="F177" s="80" t="b">
        <v>0</v>
      </c>
      <c r="G177" s="80" t="b">
        <v>0</v>
      </c>
    </row>
    <row r="178" spans="1:7" ht="15">
      <c r="A178" s="81" t="s">
        <v>2605</v>
      </c>
      <c r="B178" s="80">
        <v>2</v>
      </c>
      <c r="C178" s="109">
        <v>0.0015062665990149948</v>
      </c>
      <c r="D178" s="80" t="s">
        <v>2799</v>
      </c>
      <c r="E178" s="80" t="b">
        <v>0</v>
      </c>
      <c r="F178" s="80" t="b">
        <v>0</v>
      </c>
      <c r="G178" s="80" t="b">
        <v>0</v>
      </c>
    </row>
    <row r="179" spans="1:7" ht="15">
      <c r="A179" s="81" t="s">
        <v>435</v>
      </c>
      <c r="B179" s="80">
        <v>2</v>
      </c>
      <c r="C179" s="109">
        <v>0.0017516048187900405</v>
      </c>
      <c r="D179" s="80" t="s">
        <v>2799</v>
      </c>
      <c r="E179" s="80" t="b">
        <v>0</v>
      </c>
      <c r="F179" s="80" t="b">
        <v>0</v>
      </c>
      <c r="G179" s="80" t="b">
        <v>0</v>
      </c>
    </row>
    <row r="180" spans="1:7" ht="15">
      <c r="A180" s="81" t="s">
        <v>2606</v>
      </c>
      <c r="B180" s="80">
        <v>2</v>
      </c>
      <c r="C180" s="109">
        <v>0.0017516048187900405</v>
      </c>
      <c r="D180" s="80" t="s">
        <v>2799</v>
      </c>
      <c r="E180" s="80" t="b">
        <v>0</v>
      </c>
      <c r="F180" s="80" t="b">
        <v>0</v>
      </c>
      <c r="G180" s="80" t="b">
        <v>0</v>
      </c>
    </row>
    <row r="181" spans="1:7" ht="15">
      <c r="A181" s="81" t="s">
        <v>2607</v>
      </c>
      <c r="B181" s="80">
        <v>2</v>
      </c>
      <c r="C181" s="109">
        <v>0.0015062665990149948</v>
      </c>
      <c r="D181" s="80" t="s">
        <v>2799</v>
      </c>
      <c r="E181" s="80" t="b">
        <v>0</v>
      </c>
      <c r="F181" s="80" t="b">
        <v>1</v>
      </c>
      <c r="G181" s="80" t="b">
        <v>0</v>
      </c>
    </row>
    <row r="182" spans="1:7" ht="15">
      <c r="A182" s="81" t="s">
        <v>2608</v>
      </c>
      <c r="B182" s="80">
        <v>2</v>
      </c>
      <c r="C182" s="109">
        <v>0.0015062665990149948</v>
      </c>
      <c r="D182" s="80" t="s">
        <v>2799</v>
      </c>
      <c r="E182" s="80" t="b">
        <v>0</v>
      </c>
      <c r="F182" s="80" t="b">
        <v>0</v>
      </c>
      <c r="G182" s="80" t="b">
        <v>0</v>
      </c>
    </row>
    <row r="183" spans="1:7" ht="15">
      <c r="A183" s="81" t="s">
        <v>2609</v>
      </c>
      <c r="B183" s="80">
        <v>2</v>
      </c>
      <c r="C183" s="109">
        <v>0.0015062665990149948</v>
      </c>
      <c r="D183" s="80" t="s">
        <v>2799</v>
      </c>
      <c r="E183" s="80" t="b">
        <v>0</v>
      </c>
      <c r="F183" s="80" t="b">
        <v>0</v>
      </c>
      <c r="G183" s="80" t="b">
        <v>0</v>
      </c>
    </row>
    <row r="184" spans="1:7" ht="15">
      <c r="A184" s="81" t="s">
        <v>2610</v>
      </c>
      <c r="B184" s="80">
        <v>2</v>
      </c>
      <c r="C184" s="109">
        <v>0.0015062665990149948</v>
      </c>
      <c r="D184" s="80" t="s">
        <v>2799</v>
      </c>
      <c r="E184" s="80" t="b">
        <v>0</v>
      </c>
      <c r="F184" s="80" t="b">
        <v>0</v>
      </c>
      <c r="G184" s="80" t="b">
        <v>0</v>
      </c>
    </row>
    <row r="185" spans="1:7" ht="15">
      <c r="A185" s="81" t="s">
        <v>2611</v>
      </c>
      <c r="B185" s="80">
        <v>2</v>
      </c>
      <c r="C185" s="109">
        <v>0.0015062665990149948</v>
      </c>
      <c r="D185" s="80" t="s">
        <v>2799</v>
      </c>
      <c r="E185" s="80" t="b">
        <v>1</v>
      </c>
      <c r="F185" s="80" t="b">
        <v>0</v>
      </c>
      <c r="G185" s="80" t="b">
        <v>0</v>
      </c>
    </row>
    <row r="186" spans="1:7" ht="15">
      <c r="A186" s="81" t="s">
        <v>298</v>
      </c>
      <c r="B186" s="80">
        <v>2</v>
      </c>
      <c r="C186" s="109">
        <v>0.0015062665990149948</v>
      </c>
      <c r="D186" s="80" t="s">
        <v>2799</v>
      </c>
      <c r="E186" s="80" t="b">
        <v>0</v>
      </c>
      <c r="F186" s="80" t="b">
        <v>0</v>
      </c>
      <c r="G186" s="80" t="b">
        <v>0</v>
      </c>
    </row>
    <row r="187" spans="1:7" ht="15">
      <c r="A187" s="81" t="s">
        <v>2612</v>
      </c>
      <c r="B187" s="80">
        <v>2</v>
      </c>
      <c r="C187" s="109">
        <v>0.0015062665990149948</v>
      </c>
      <c r="D187" s="80" t="s">
        <v>2799</v>
      </c>
      <c r="E187" s="80" t="b">
        <v>0</v>
      </c>
      <c r="F187" s="80" t="b">
        <v>0</v>
      </c>
      <c r="G187" s="80" t="b">
        <v>0</v>
      </c>
    </row>
    <row r="188" spans="1:7" ht="15">
      <c r="A188" s="81" t="s">
        <v>2613</v>
      </c>
      <c r="B188" s="80">
        <v>2</v>
      </c>
      <c r="C188" s="109">
        <v>0.0015062665990149948</v>
      </c>
      <c r="D188" s="80" t="s">
        <v>2799</v>
      </c>
      <c r="E188" s="80" t="b">
        <v>0</v>
      </c>
      <c r="F188" s="80" t="b">
        <v>0</v>
      </c>
      <c r="G188" s="80" t="b">
        <v>0</v>
      </c>
    </row>
    <row r="189" spans="1:7" ht="15">
      <c r="A189" s="81" t="s">
        <v>2614</v>
      </c>
      <c r="B189" s="80">
        <v>2</v>
      </c>
      <c r="C189" s="109">
        <v>0.0015062665990149948</v>
      </c>
      <c r="D189" s="80" t="s">
        <v>2799</v>
      </c>
      <c r="E189" s="80" t="b">
        <v>0</v>
      </c>
      <c r="F189" s="80" t="b">
        <v>0</v>
      </c>
      <c r="G189" s="80" t="b">
        <v>0</v>
      </c>
    </row>
    <row r="190" spans="1:7" ht="15">
      <c r="A190" s="81" t="s">
        <v>2615</v>
      </c>
      <c r="B190" s="80">
        <v>2</v>
      </c>
      <c r="C190" s="109">
        <v>0.0015062665990149948</v>
      </c>
      <c r="D190" s="80" t="s">
        <v>2799</v>
      </c>
      <c r="E190" s="80" t="b">
        <v>0</v>
      </c>
      <c r="F190" s="80" t="b">
        <v>0</v>
      </c>
      <c r="G190" s="80" t="b">
        <v>0</v>
      </c>
    </row>
    <row r="191" spans="1:7" ht="15">
      <c r="A191" s="81" t="s">
        <v>2616</v>
      </c>
      <c r="B191" s="80">
        <v>2</v>
      </c>
      <c r="C191" s="109">
        <v>0.0015062665990149948</v>
      </c>
      <c r="D191" s="80" t="s">
        <v>2799</v>
      </c>
      <c r="E191" s="80" t="b">
        <v>0</v>
      </c>
      <c r="F191" s="80" t="b">
        <v>0</v>
      </c>
      <c r="G191" s="80" t="b">
        <v>0</v>
      </c>
    </row>
    <row r="192" spans="1:7" ht="15">
      <c r="A192" s="81" t="s">
        <v>2617</v>
      </c>
      <c r="B192" s="80">
        <v>2</v>
      </c>
      <c r="C192" s="109">
        <v>0.0017516048187900405</v>
      </c>
      <c r="D192" s="80" t="s">
        <v>2799</v>
      </c>
      <c r="E192" s="80" t="b">
        <v>0</v>
      </c>
      <c r="F192" s="80" t="b">
        <v>1</v>
      </c>
      <c r="G192" s="80" t="b">
        <v>0</v>
      </c>
    </row>
    <row r="193" spans="1:7" ht="15">
      <c r="A193" s="81" t="s">
        <v>2618</v>
      </c>
      <c r="B193" s="80">
        <v>2</v>
      </c>
      <c r="C193" s="109">
        <v>0.0017516048187900405</v>
      </c>
      <c r="D193" s="80" t="s">
        <v>2799</v>
      </c>
      <c r="E193" s="80" t="b">
        <v>0</v>
      </c>
      <c r="F193" s="80" t="b">
        <v>1</v>
      </c>
      <c r="G193" s="80" t="b">
        <v>0</v>
      </c>
    </row>
    <row r="194" spans="1:7" ht="15">
      <c r="A194" s="81" t="s">
        <v>2619</v>
      </c>
      <c r="B194" s="80">
        <v>2</v>
      </c>
      <c r="C194" s="109">
        <v>0.0015062665990149948</v>
      </c>
      <c r="D194" s="80" t="s">
        <v>2799</v>
      </c>
      <c r="E194" s="80" t="b">
        <v>0</v>
      </c>
      <c r="F194" s="80" t="b">
        <v>0</v>
      </c>
      <c r="G194" s="80" t="b">
        <v>0</v>
      </c>
    </row>
    <row r="195" spans="1:7" ht="15">
      <c r="A195" s="81" t="s">
        <v>2620</v>
      </c>
      <c r="B195" s="80">
        <v>2</v>
      </c>
      <c r="C195" s="109">
        <v>0.0015062665990149948</v>
      </c>
      <c r="D195" s="80" t="s">
        <v>2799</v>
      </c>
      <c r="E195" s="80" t="b">
        <v>0</v>
      </c>
      <c r="F195" s="80" t="b">
        <v>0</v>
      </c>
      <c r="G195" s="80" t="b">
        <v>0</v>
      </c>
    </row>
    <row r="196" spans="1:7" ht="15">
      <c r="A196" s="81" t="s">
        <v>2621</v>
      </c>
      <c r="B196" s="80">
        <v>2</v>
      </c>
      <c r="C196" s="109">
        <v>0.0017516048187900405</v>
      </c>
      <c r="D196" s="80" t="s">
        <v>2799</v>
      </c>
      <c r="E196" s="80" t="b">
        <v>0</v>
      </c>
      <c r="F196" s="80" t="b">
        <v>0</v>
      </c>
      <c r="G196" s="80" t="b">
        <v>0</v>
      </c>
    </row>
    <row r="197" spans="1:7" ht="15">
      <c r="A197" s="81" t="s">
        <v>2622</v>
      </c>
      <c r="B197" s="80">
        <v>2</v>
      </c>
      <c r="C197" s="109">
        <v>0.0015062665990149948</v>
      </c>
      <c r="D197" s="80" t="s">
        <v>2799</v>
      </c>
      <c r="E197" s="80" t="b">
        <v>0</v>
      </c>
      <c r="F197" s="80" t="b">
        <v>1</v>
      </c>
      <c r="G197" s="80" t="b">
        <v>0</v>
      </c>
    </row>
    <row r="198" spans="1:7" ht="15">
      <c r="A198" s="81" t="s">
        <v>2623</v>
      </c>
      <c r="B198" s="80">
        <v>2</v>
      </c>
      <c r="C198" s="109">
        <v>0.0017516048187900405</v>
      </c>
      <c r="D198" s="80" t="s">
        <v>2799</v>
      </c>
      <c r="E198" s="80" t="b">
        <v>0</v>
      </c>
      <c r="F198" s="80" t="b">
        <v>0</v>
      </c>
      <c r="G198" s="80" t="b">
        <v>0</v>
      </c>
    </row>
    <row r="199" spans="1:7" ht="15">
      <c r="A199" s="81" t="s">
        <v>2624</v>
      </c>
      <c r="B199" s="80">
        <v>2</v>
      </c>
      <c r="C199" s="109">
        <v>0.0015062665990149948</v>
      </c>
      <c r="D199" s="80" t="s">
        <v>2799</v>
      </c>
      <c r="E199" s="80" t="b">
        <v>0</v>
      </c>
      <c r="F199" s="80" t="b">
        <v>0</v>
      </c>
      <c r="G199" s="80" t="b">
        <v>0</v>
      </c>
    </row>
    <row r="200" spans="1:7" ht="15">
      <c r="A200" s="81" t="s">
        <v>2625</v>
      </c>
      <c r="B200" s="80">
        <v>2</v>
      </c>
      <c r="C200" s="109">
        <v>0.0015062665990149948</v>
      </c>
      <c r="D200" s="80" t="s">
        <v>2799</v>
      </c>
      <c r="E200" s="80" t="b">
        <v>0</v>
      </c>
      <c r="F200" s="80" t="b">
        <v>1</v>
      </c>
      <c r="G200" s="80" t="b">
        <v>0</v>
      </c>
    </row>
    <row r="201" spans="1:7" ht="15">
      <c r="A201" s="81" t="s">
        <v>2626</v>
      </c>
      <c r="B201" s="80">
        <v>2</v>
      </c>
      <c r="C201" s="109">
        <v>0.0015062665990149948</v>
      </c>
      <c r="D201" s="80" t="s">
        <v>2799</v>
      </c>
      <c r="E201" s="80" t="b">
        <v>0</v>
      </c>
      <c r="F201" s="80" t="b">
        <v>0</v>
      </c>
      <c r="G201" s="80" t="b">
        <v>0</v>
      </c>
    </row>
    <row r="202" spans="1:7" ht="15">
      <c r="A202" s="81" t="s">
        <v>2627</v>
      </c>
      <c r="B202" s="80">
        <v>2</v>
      </c>
      <c r="C202" s="109">
        <v>0.0015062665990149948</v>
      </c>
      <c r="D202" s="80" t="s">
        <v>2799</v>
      </c>
      <c r="E202" s="80" t="b">
        <v>0</v>
      </c>
      <c r="F202" s="80" t="b">
        <v>0</v>
      </c>
      <c r="G202" s="80" t="b">
        <v>0</v>
      </c>
    </row>
    <row r="203" spans="1:7" ht="15">
      <c r="A203" s="81" t="s">
        <v>2628</v>
      </c>
      <c r="B203" s="80">
        <v>2</v>
      </c>
      <c r="C203" s="109">
        <v>0.0015062665990149948</v>
      </c>
      <c r="D203" s="80" t="s">
        <v>2799</v>
      </c>
      <c r="E203" s="80" t="b">
        <v>0</v>
      </c>
      <c r="F203" s="80" t="b">
        <v>0</v>
      </c>
      <c r="G203" s="80" t="b">
        <v>0</v>
      </c>
    </row>
    <row r="204" spans="1:7" ht="15">
      <c r="A204" s="81" t="s">
        <v>2629</v>
      </c>
      <c r="B204" s="80">
        <v>2</v>
      </c>
      <c r="C204" s="109">
        <v>0.0017516048187900405</v>
      </c>
      <c r="D204" s="80" t="s">
        <v>2799</v>
      </c>
      <c r="E204" s="80" t="b">
        <v>0</v>
      </c>
      <c r="F204" s="80" t="b">
        <v>0</v>
      </c>
      <c r="G204" s="80" t="b">
        <v>0</v>
      </c>
    </row>
    <row r="205" spans="1:7" ht="15">
      <c r="A205" s="81" t="s">
        <v>2630</v>
      </c>
      <c r="B205" s="80">
        <v>2</v>
      </c>
      <c r="C205" s="109">
        <v>0.0015062665990149948</v>
      </c>
      <c r="D205" s="80" t="s">
        <v>2799</v>
      </c>
      <c r="E205" s="80" t="b">
        <v>0</v>
      </c>
      <c r="F205" s="80" t="b">
        <v>0</v>
      </c>
      <c r="G205" s="80" t="b">
        <v>0</v>
      </c>
    </row>
    <row r="206" spans="1:7" ht="15">
      <c r="A206" s="81" t="s">
        <v>2631</v>
      </c>
      <c r="B206" s="80">
        <v>2</v>
      </c>
      <c r="C206" s="109">
        <v>0.0015062665990149948</v>
      </c>
      <c r="D206" s="80" t="s">
        <v>2799</v>
      </c>
      <c r="E206" s="80" t="b">
        <v>0</v>
      </c>
      <c r="F206" s="80" t="b">
        <v>0</v>
      </c>
      <c r="G206" s="80" t="b">
        <v>0</v>
      </c>
    </row>
    <row r="207" spans="1:7" ht="15">
      <c r="A207" s="81" t="s">
        <v>2632</v>
      </c>
      <c r="B207" s="80">
        <v>2</v>
      </c>
      <c r="C207" s="109">
        <v>0.0015062665990149948</v>
      </c>
      <c r="D207" s="80" t="s">
        <v>2799</v>
      </c>
      <c r="E207" s="80" t="b">
        <v>0</v>
      </c>
      <c r="F207" s="80" t="b">
        <v>0</v>
      </c>
      <c r="G207" s="80" t="b">
        <v>0</v>
      </c>
    </row>
    <row r="208" spans="1:7" ht="15">
      <c r="A208" s="81" t="s">
        <v>2633</v>
      </c>
      <c r="B208" s="80">
        <v>2</v>
      </c>
      <c r="C208" s="109">
        <v>0.0015062665990149948</v>
      </c>
      <c r="D208" s="80" t="s">
        <v>2799</v>
      </c>
      <c r="E208" s="80" t="b">
        <v>0</v>
      </c>
      <c r="F208" s="80" t="b">
        <v>0</v>
      </c>
      <c r="G208" s="80" t="b">
        <v>0</v>
      </c>
    </row>
    <row r="209" spans="1:7" ht="15">
      <c r="A209" s="81" t="s">
        <v>2634</v>
      </c>
      <c r="B209" s="80">
        <v>2</v>
      </c>
      <c r="C209" s="109">
        <v>0.0015062665990149948</v>
      </c>
      <c r="D209" s="80" t="s">
        <v>2799</v>
      </c>
      <c r="E209" s="80" t="b">
        <v>0</v>
      </c>
      <c r="F209" s="80" t="b">
        <v>0</v>
      </c>
      <c r="G209" s="80" t="b">
        <v>0</v>
      </c>
    </row>
    <row r="210" spans="1:7" ht="15">
      <c r="A210" s="81" t="s">
        <v>2635</v>
      </c>
      <c r="B210" s="80">
        <v>2</v>
      </c>
      <c r="C210" s="109">
        <v>0.0015062665990149948</v>
      </c>
      <c r="D210" s="80" t="s">
        <v>2799</v>
      </c>
      <c r="E210" s="80" t="b">
        <v>0</v>
      </c>
      <c r="F210" s="80" t="b">
        <v>0</v>
      </c>
      <c r="G210" s="80" t="b">
        <v>0</v>
      </c>
    </row>
    <row r="211" spans="1:7" ht="15">
      <c r="A211" s="81" t="s">
        <v>2636</v>
      </c>
      <c r="B211" s="80">
        <v>2</v>
      </c>
      <c r="C211" s="109">
        <v>0.0015062665990149948</v>
      </c>
      <c r="D211" s="80" t="s">
        <v>2799</v>
      </c>
      <c r="E211" s="80" t="b">
        <v>0</v>
      </c>
      <c r="F211" s="80" t="b">
        <v>0</v>
      </c>
      <c r="G211" s="80" t="b">
        <v>0</v>
      </c>
    </row>
    <row r="212" spans="1:7" ht="15">
      <c r="A212" s="81" t="s">
        <v>2637</v>
      </c>
      <c r="B212" s="80">
        <v>2</v>
      </c>
      <c r="C212" s="109">
        <v>0.0015062665990149948</v>
      </c>
      <c r="D212" s="80" t="s">
        <v>2799</v>
      </c>
      <c r="E212" s="80" t="b">
        <v>0</v>
      </c>
      <c r="F212" s="80" t="b">
        <v>1</v>
      </c>
      <c r="G212" s="80" t="b">
        <v>0</v>
      </c>
    </row>
    <row r="213" spans="1:7" ht="15">
      <c r="A213" s="81" t="s">
        <v>2638</v>
      </c>
      <c r="B213" s="80">
        <v>2</v>
      </c>
      <c r="C213" s="109">
        <v>0.0015062665990149948</v>
      </c>
      <c r="D213" s="80" t="s">
        <v>2799</v>
      </c>
      <c r="E213" s="80" t="b">
        <v>0</v>
      </c>
      <c r="F213" s="80" t="b">
        <v>0</v>
      </c>
      <c r="G213" s="80" t="b">
        <v>0</v>
      </c>
    </row>
    <row r="214" spans="1:7" ht="15">
      <c r="A214" s="81" t="s">
        <v>2639</v>
      </c>
      <c r="B214" s="80">
        <v>2</v>
      </c>
      <c r="C214" s="109">
        <v>0.0015062665990149948</v>
      </c>
      <c r="D214" s="80" t="s">
        <v>2799</v>
      </c>
      <c r="E214" s="80" t="b">
        <v>0</v>
      </c>
      <c r="F214" s="80" t="b">
        <v>0</v>
      </c>
      <c r="G214" s="80" t="b">
        <v>0</v>
      </c>
    </row>
    <row r="215" spans="1:7" ht="15">
      <c r="A215" s="81" t="s">
        <v>2640</v>
      </c>
      <c r="B215" s="80">
        <v>2</v>
      </c>
      <c r="C215" s="109">
        <v>0.0015062665990149948</v>
      </c>
      <c r="D215" s="80" t="s">
        <v>2799</v>
      </c>
      <c r="E215" s="80" t="b">
        <v>0</v>
      </c>
      <c r="F215" s="80" t="b">
        <v>0</v>
      </c>
      <c r="G215" s="80" t="b">
        <v>0</v>
      </c>
    </row>
    <row r="216" spans="1:7" ht="15">
      <c r="A216" s="81" t="s">
        <v>2641</v>
      </c>
      <c r="B216" s="80">
        <v>2</v>
      </c>
      <c r="C216" s="109">
        <v>0.0015062665990149948</v>
      </c>
      <c r="D216" s="80" t="s">
        <v>2799</v>
      </c>
      <c r="E216" s="80" t="b">
        <v>0</v>
      </c>
      <c r="F216" s="80" t="b">
        <v>0</v>
      </c>
      <c r="G216" s="80" t="b">
        <v>0</v>
      </c>
    </row>
    <row r="217" spans="1:7" ht="15">
      <c r="A217" s="81" t="s">
        <v>2642</v>
      </c>
      <c r="B217" s="80">
        <v>2</v>
      </c>
      <c r="C217" s="109">
        <v>0.0015062665990149948</v>
      </c>
      <c r="D217" s="80" t="s">
        <v>2799</v>
      </c>
      <c r="E217" s="80" t="b">
        <v>0</v>
      </c>
      <c r="F217" s="80" t="b">
        <v>0</v>
      </c>
      <c r="G217" s="80" t="b">
        <v>0</v>
      </c>
    </row>
    <row r="218" spans="1:7" ht="15">
      <c r="A218" s="81" t="s">
        <v>2643</v>
      </c>
      <c r="B218" s="80">
        <v>2</v>
      </c>
      <c r="C218" s="109">
        <v>0.0017516048187900405</v>
      </c>
      <c r="D218" s="80" t="s">
        <v>2799</v>
      </c>
      <c r="E218" s="80" t="b">
        <v>0</v>
      </c>
      <c r="F218" s="80" t="b">
        <v>0</v>
      </c>
      <c r="G218" s="80" t="b">
        <v>0</v>
      </c>
    </row>
    <row r="219" spans="1:7" ht="15">
      <c r="A219" s="81" t="s">
        <v>2644</v>
      </c>
      <c r="B219" s="80">
        <v>2</v>
      </c>
      <c r="C219" s="109">
        <v>0.0015062665990149948</v>
      </c>
      <c r="D219" s="80" t="s">
        <v>2799</v>
      </c>
      <c r="E219" s="80" t="b">
        <v>0</v>
      </c>
      <c r="F219" s="80" t="b">
        <v>0</v>
      </c>
      <c r="G219" s="80" t="b">
        <v>0</v>
      </c>
    </row>
    <row r="220" spans="1:7" ht="15">
      <c r="A220" s="81" t="s">
        <v>2645</v>
      </c>
      <c r="B220" s="80">
        <v>2</v>
      </c>
      <c r="C220" s="109">
        <v>0.0015062665990149948</v>
      </c>
      <c r="D220" s="80" t="s">
        <v>2799</v>
      </c>
      <c r="E220" s="80" t="b">
        <v>0</v>
      </c>
      <c r="F220" s="80" t="b">
        <v>0</v>
      </c>
      <c r="G220" s="80" t="b">
        <v>0</v>
      </c>
    </row>
    <row r="221" spans="1:7" ht="15">
      <c r="A221" s="81" t="s">
        <v>2646</v>
      </c>
      <c r="B221" s="80">
        <v>2</v>
      </c>
      <c r="C221" s="109">
        <v>0.0015062665990149948</v>
      </c>
      <c r="D221" s="80" t="s">
        <v>2799</v>
      </c>
      <c r="E221" s="80" t="b">
        <v>0</v>
      </c>
      <c r="F221" s="80" t="b">
        <v>1</v>
      </c>
      <c r="G221" s="80" t="b">
        <v>0</v>
      </c>
    </row>
    <row r="222" spans="1:7" ht="15">
      <c r="A222" s="81" t="s">
        <v>2647</v>
      </c>
      <c r="B222" s="80">
        <v>2</v>
      </c>
      <c r="C222" s="109">
        <v>0.0015062665990149948</v>
      </c>
      <c r="D222" s="80" t="s">
        <v>2799</v>
      </c>
      <c r="E222" s="80" t="b">
        <v>0</v>
      </c>
      <c r="F222" s="80" t="b">
        <v>0</v>
      </c>
      <c r="G222" s="80" t="b">
        <v>0</v>
      </c>
    </row>
    <row r="223" spans="1:7" ht="15">
      <c r="A223" s="81" t="s">
        <v>2648</v>
      </c>
      <c r="B223" s="80">
        <v>2</v>
      </c>
      <c r="C223" s="109">
        <v>0.0015062665990149948</v>
      </c>
      <c r="D223" s="80" t="s">
        <v>2799</v>
      </c>
      <c r="E223" s="80" t="b">
        <v>0</v>
      </c>
      <c r="F223" s="80" t="b">
        <v>0</v>
      </c>
      <c r="G223" s="80" t="b">
        <v>0</v>
      </c>
    </row>
    <row r="224" spans="1:7" ht="15">
      <c r="A224" s="81" t="s">
        <v>2649</v>
      </c>
      <c r="B224" s="80">
        <v>2</v>
      </c>
      <c r="C224" s="109">
        <v>0.0017516048187900405</v>
      </c>
      <c r="D224" s="80" t="s">
        <v>2799</v>
      </c>
      <c r="E224" s="80" t="b">
        <v>0</v>
      </c>
      <c r="F224" s="80" t="b">
        <v>0</v>
      </c>
      <c r="G224" s="80" t="b">
        <v>0</v>
      </c>
    </row>
    <row r="225" spans="1:7" ht="15">
      <c r="A225" s="81" t="s">
        <v>2650</v>
      </c>
      <c r="B225" s="80">
        <v>2</v>
      </c>
      <c r="C225" s="109">
        <v>0.0017516048187900405</v>
      </c>
      <c r="D225" s="80" t="s">
        <v>2799</v>
      </c>
      <c r="E225" s="80" t="b">
        <v>0</v>
      </c>
      <c r="F225" s="80" t="b">
        <v>0</v>
      </c>
      <c r="G225" s="80" t="b">
        <v>0</v>
      </c>
    </row>
    <row r="226" spans="1:7" ht="15">
      <c r="A226" s="81" t="s">
        <v>2651</v>
      </c>
      <c r="B226" s="80">
        <v>2</v>
      </c>
      <c r="C226" s="109">
        <v>0.0015062665990149948</v>
      </c>
      <c r="D226" s="80" t="s">
        <v>2799</v>
      </c>
      <c r="E226" s="80" t="b">
        <v>0</v>
      </c>
      <c r="F226" s="80" t="b">
        <v>0</v>
      </c>
      <c r="G226" s="80" t="b">
        <v>0</v>
      </c>
    </row>
    <row r="227" spans="1:7" ht="15">
      <c r="A227" s="81" t="s">
        <v>2652</v>
      </c>
      <c r="B227" s="80">
        <v>2</v>
      </c>
      <c r="C227" s="109">
        <v>0.0015062665990149948</v>
      </c>
      <c r="D227" s="80" t="s">
        <v>2799</v>
      </c>
      <c r="E227" s="80" t="b">
        <v>0</v>
      </c>
      <c r="F227" s="80" t="b">
        <v>0</v>
      </c>
      <c r="G227" s="80" t="b">
        <v>0</v>
      </c>
    </row>
    <row r="228" spans="1:7" ht="15">
      <c r="A228" s="81" t="s">
        <v>2653</v>
      </c>
      <c r="B228" s="80">
        <v>2</v>
      </c>
      <c r="C228" s="109">
        <v>0.0015062665990149948</v>
      </c>
      <c r="D228" s="80" t="s">
        <v>2799</v>
      </c>
      <c r="E228" s="80" t="b">
        <v>0</v>
      </c>
      <c r="F228" s="80" t="b">
        <v>0</v>
      </c>
      <c r="G228" s="80" t="b">
        <v>0</v>
      </c>
    </row>
    <row r="229" spans="1:7" ht="15">
      <c r="A229" s="81" t="s">
        <v>2654</v>
      </c>
      <c r="B229" s="80">
        <v>2</v>
      </c>
      <c r="C229" s="109">
        <v>0.0015062665990149948</v>
      </c>
      <c r="D229" s="80" t="s">
        <v>2799</v>
      </c>
      <c r="E229" s="80" t="b">
        <v>0</v>
      </c>
      <c r="F229" s="80" t="b">
        <v>0</v>
      </c>
      <c r="G229" s="80" t="b">
        <v>0</v>
      </c>
    </row>
    <row r="230" spans="1:7" ht="15">
      <c r="A230" s="81" t="s">
        <v>2655</v>
      </c>
      <c r="B230" s="80">
        <v>2</v>
      </c>
      <c r="C230" s="109">
        <v>0.0015062665990149948</v>
      </c>
      <c r="D230" s="80" t="s">
        <v>2799</v>
      </c>
      <c r="E230" s="80" t="b">
        <v>0</v>
      </c>
      <c r="F230" s="80" t="b">
        <v>0</v>
      </c>
      <c r="G230" s="80" t="b">
        <v>0</v>
      </c>
    </row>
    <row r="231" spans="1:7" ht="15">
      <c r="A231" s="81" t="s">
        <v>2656</v>
      </c>
      <c r="B231" s="80">
        <v>2</v>
      </c>
      <c r="C231" s="109">
        <v>0.0017516048187900405</v>
      </c>
      <c r="D231" s="80" t="s">
        <v>2799</v>
      </c>
      <c r="E231" s="80" t="b">
        <v>0</v>
      </c>
      <c r="F231" s="80" t="b">
        <v>0</v>
      </c>
      <c r="G231" s="80" t="b">
        <v>0</v>
      </c>
    </row>
    <row r="232" spans="1:7" ht="15">
      <c r="A232" s="81" t="s">
        <v>2657</v>
      </c>
      <c r="B232" s="80">
        <v>2</v>
      </c>
      <c r="C232" s="109">
        <v>0.0015062665990149948</v>
      </c>
      <c r="D232" s="80" t="s">
        <v>2799</v>
      </c>
      <c r="E232" s="80" t="b">
        <v>0</v>
      </c>
      <c r="F232" s="80" t="b">
        <v>0</v>
      </c>
      <c r="G232" s="80" t="b">
        <v>0</v>
      </c>
    </row>
    <row r="233" spans="1:7" ht="15">
      <c r="A233" s="81" t="s">
        <v>2658</v>
      </c>
      <c r="B233" s="80">
        <v>2</v>
      </c>
      <c r="C233" s="109">
        <v>0.0015062665990149948</v>
      </c>
      <c r="D233" s="80" t="s">
        <v>2799</v>
      </c>
      <c r="E233" s="80" t="b">
        <v>0</v>
      </c>
      <c r="F233" s="80" t="b">
        <v>0</v>
      </c>
      <c r="G233" s="80" t="b">
        <v>0</v>
      </c>
    </row>
    <row r="234" spans="1:7" ht="15">
      <c r="A234" s="81" t="s">
        <v>2659</v>
      </c>
      <c r="B234" s="80">
        <v>2</v>
      </c>
      <c r="C234" s="109">
        <v>0.0015062665990149948</v>
      </c>
      <c r="D234" s="80" t="s">
        <v>2799</v>
      </c>
      <c r="E234" s="80" t="b">
        <v>0</v>
      </c>
      <c r="F234" s="80" t="b">
        <v>0</v>
      </c>
      <c r="G234" s="80" t="b">
        <v>0</v>
      </c>
    </row>
    <row r="235" spans="1:7" ht="15">
      <c r="A235" s="81" t="s">
        <v>2660</v>
      </c>
      <c r="B235" s="80">
        <v>2</v>
      </c>
      <c r="C235" s="109">
        <v>0.0015062665990149948</v>
      </c>
      <c r="D235" s="80" t="s">
        <v>2799</v>
      </c>
      <c r="E235" s="80" t="b">
        <v>0</v>
      </c>
      <c r="F235" s="80" t="b">
        <v>0</v>
      </c>
      <c r="G235" s="80" t="b">
        <v>0</v>
      </c>
    </row>
    <row r="236" spans="1:7" ht="15">
      <c r="A236" s="81" t="s">
        <v>2661</v>
      </c>
      <c r="B236" s="80">
        <v>2</v>
      </c>
      <c r="C236" s="109">
        <v>0.0015062665990149948</v>
      </c>
      <c r="D236" s="80" t="s">
        <v>2799</v>
      </c>
      <c r="E236" s="80" t="b">
        <v>0</v>
      </c>
      <c r="F236" s="80" t="b">
        <v>0</v>
      </c>
      <c r="G236" s="80" t="b">
        <v>0</v>
      </c>
    </row>
    <row r="237" spans="1:7" ht="15">
      <c r="A237" s="81" t="s">
        <v>2662</v>
      </c>
      <c r="B237" s="80">
        <v>2</v>
      </c>
      <c r="C237" s="109">
        <v>0.0015062665990149948</v>
      </c>
      <c r="D237" s="80" t="s">
        <v>2799</v>
      </c>
      <c r="E237" s="80" t="b">
        <v>0</v>
      </c>
      <c r="F237" s="80" t="b">
        <v>0</v>
      </c>
      <c r="G237" s="80" t="b">
        <v>0</v>
      </c>
    </row>
    <row r="238" spans="1:7" ht="15">
      <c r="A238" s="81" t="s">
        <v>2663</v>
      </c>
      <c r="B238" s="80">
        <v>2</v>
      </c>
      <c r="C238" s="109">
        <v>0.0015062665990149948</v>
      </c>
      <c r="D238" s="80" t="s">
        <v>2799</v>
      </c>
      <c r="E238" s="80" t="b">
        <v>0</v>
      </c>
      <c r="F238" s="80" t="b">
        <v>0</v>
      </c>
      <c r="G238" s="80" t="b">
        <v>0</v>
      </c>
    </row>
    <row r="239" spans="1:7" ht="15">
      <c r="A239" s="81" t="s">
        <v>2664</v>
      </c>
      <c r="B239" s="80">
        <v>2</v>
      </c>
      <c r="C239" s="109">
        <v>0.0015062665990149948</v>
      </c>
      <c r="D239" s="80" t="s">
        <v>2799</v>
      </c>
      <c r="E239" s="80" t="b">
        <v>0</v>
      </c>
      <c r="F239" s="80" t="b">
        <v>0</v>
      </c>
      <c r="G239" s="80" t="b">
        <v>0</v>
      </c>
    </row>
    <row r="240" spans="1:7" ht="15">
      <c r="A240" s="81" t="s">
        <v>2665</v>
      </c>
      <c r="B240" s="80">
        <v>2</v>
      </c>
      <c r="C240" s="109">
        <v>0.0015062665990149948</v>
      </c>
      <c r="D240" s="80" t="s">
        <v>2799</v>
      </c>
      <c r="E240" s="80" t="b">
        <v>0</v>
      </c>
      <c r="F240" s="80" t="b">
        <v>0</v>
      </c>
      <c r="G240" s="80" t="b">
        <v>0</v>
      </c>
    </row>
    <row r="241" spans="1:7" ht="15">
      <c r="A241" s="81" t="s">
        <v>2666</v>
      </c>
      <c r="B241" s="80">
        <v>2</v>
      </c>
      <c r="C241" s="109">
        <v>0.0017516048187900405</v>
      </c>
      <c r="D241" s="80" t="s">
        <v>2799</v>
      </c>
      <c r="E241" s="80" t="b">
        <v>0</v>
      </c>
      <c r="F241" s="80" t="b">
        <v>0</v>
      </c>
      <c r="G241" s="80" t="b">
        <v>0</v>
      </c>
    </row>
    <row r="242" spans="1:7" ht="15">
      <c r="A242" s="81" t="s">
        <v>2667</v>
      </c>
      <c r="B242" s="80">
        <v>2</v>
      </c>
      <c r="C242" s="109">
        <v>0.0015062665990149948</v>
      </c>
      <c r="D242" s="80" t="s">
        <v>2799</v>
      </c>
      <c r="E242" s="80" t="b">
        <v>0</v>
      </c>
      <c r="F242" s="80" t="b">
        <v>0</v>
      </c>
      <c r="G242" s="80" t="b">
        <v>0</v>
      </c>
    </row>
    <row r="243" spans="1:7" ht="15">
      <c r="A243" s="81" t="s">
        <v>2668</v>
      </c>
      <c r="B243" s="80">
        <v>2</v>
      </c>
      <c r="C243" s="109">
        <v>0.0015062665990149948</v>
      </c>
      <c r="D243" s="80" t="s">
        <v>2799</v>
      </c>
      <c r="E243" s="80" t="b">
        <v>0</v>
      </c>
      <c r="F243" s="80" t="b">
        <v>0</v>
      </c>
      <c r="G243" s="80" t="b">
        <v>0</v>
      </c>
    </row>
    <row r="244" spans="1:7" ht="15">
      <c r="A244" s="81" t="s">
        <v>2669</v>
      </c>
      <c r="B244" s="80">
        <v>2</v>
      </c>
      <c r="C244" s="109">
        <v>0.0015062665990149948</v>
      </c>
      <c r="D244" s="80" t="s">
        <v>2799</v>
      </c>
      <c r="E244" s="80" t="b">
        <v>0</v>
      </c>
      <c r="F244" s="80" t="b">
        <v>0</v>
      </c>
      <c r="G244" s="80" t="b">
        <v>0</v>
      </c>
    </row>
    <row r="245" spans="1:7" ht="15">
      <c r="A245" s="81" t="s">
        <v>2670</v>
      </c>
      <c r="B245" s="80">
        <v>2</v>
      </c>
      <c r="C245" s="109">
        <v>0.0015062665990149948</v>
      </c>
      <c r="D245" s="80" t="s">
        <v>2799</v>
      </c>
      <c r="E245" s="80" t="b">
        <v>0</v>
      </c>
      <c r="F245" s="80" t="b">
        <v>0</v>
      </c>
      <c r="G245" s="80" t="b">
        <v>0</v>
      </c>
    </row>
    <row r="246" spans="1:7" ht="15">
      <c r="A246" s="81" t="s">
        <v>2671</v>
      </c>
      <c r="B246" s="80">
        <v>2</v>
      </c>
      <c r="C246" s="109">
        <v>0.0015062665990149948</v>
      </c>
      <c r="D246" s="80" t="s">
        <v>2799</v>
      </c>
      <c r="E246" s="80" t="b">
        <v>0</v>
      </c>
      <c r="F246" s="80" t="b">
        <v>0</v>
      </c>
      <c r="G246" s="80" t="b">
        <v>0</v>
      </c>
    </row>
    <row r="247" spans="1:7" ht="15">
      <c r="A247" s="81" t="s">
        <v>2672</v>
      </c>
      <c r="B247" s="80">
        <v>2</v>
      </c>
      <c r="C247" s="109">
        <v>0.0015062665990149948</v>
      </c>
      <c r="D247" s="80" t="s">
        <v>2799</v>
      </c>
      <c r="E247" s="80" t="b">
        <v>0</v>
      </c>
      <c r="F247" s="80" t="b">
        <v>1</v>
      </c>
      <c r="G247" s="80" t="b">
        <v>0</v>
      </c>
    </row>
    <row r="248" spans="1:7" ht="15">
      <c r="A248" s="81" t="s">
        <v>2673</v>
      </c>
      <c r="B248" s="80">
        <v>2</v>
      </c>
      <c r="C248" s="109">
        <v>0.0015062665990149948</v>
      </c>
      <c r="D248" s="80" t="s">
        <v>2799</v>
      </c>
      <c r="E248" s="80" t="b">
        <v>0</v>
      </c>
      <c r="F248" s="80" t="b">
        <v>0</v>
      </c>
      <c r="G248" s="80" t="b">
        <v>0</v>
      </c>
    </row>
    <row r="249" spans="1:7" ht="15">
      <c r="A249" s="81" t="s">
        <v>2674</v>
      </c>
      <c r="B249" s="80">
        <v>2</v>
      </c>
      <c r="C249" s="109">
        <v>0.0015062665990149948</v>
      </c>
      <c r="D249" s="80" t="s">
        <v>2799</v>
      </c>
      <c r="E249" s="80" t="b">
        <v>0</v>
      </c>
      <c r="F249" s="80" t="b">
        <v>0</v>
      </c>
      <c r="G249" s="80" t="b">
        <v>0</v>
      </c>
    </row>
    <row r="250" spans="1:7" ht="15">
      <c r="A250" s="81" t="s">
        <v>2675</v>
      </c>
      <c r="B250" s="80">
        <v>2</v>
      </c>
      <c r="C250" s="109">
        <v>0.0017516048187900405</v>
      </c>
      <c r="D250" s="80" t="s">
        <v>2799</v>
      </c>
      <c r="E250" s="80" t="b">
        <v>0</v>
      </c>
      <c r="F250" s="80" t="b">
        <v>0</v>
      </c>
      <c r="G250" s="80" t="b">
        <v>0</v>
      </c>
    </row>
    <row r="251" spans="1:7" ht="15">
      <c r="A251" s="81" t="s">
        <v>2676</v>
      </c>
      <c r="B251" s="80">
        <v>2</v>
      </c>
      <c r="C251" s="109">
        <v>0.0015062665990149948</v>
      </c>
      <c r="D251" s="80" t="s">
        <v>2799</v>
      </c>
      <c r="E251" s="80" t="b">
        <v>0</v>
      </c>
      <c r="F251" s="80" t="b">
        <v>0</v>
      </c>
      <c r="G251" s="80" t="b">
        <v>0</v>
      </c>
    </row>
    <row r="252" spans="1:7" ht="15">
      <c r="A252" s="81" t="s">
        <v>2677</v>
      </c>
      <c r="B252" s="80">
        <v>2</v>
      </c>
      <c r="C252" s="109">
        <v>0.0015062665990149948</v>
      </c>
      <c r="D252" s="80" t="s">
        <v>2799</v>
      </c>
      <c r="E252" s="80" t="b">
        <v>0</v>
      </c>
      <c r="F252" s="80" t="b">
        <v>0</v>
      </c>
      <c r="G252" s="80" t="b">
        <v>0</v>
      </c>
    </row>
    <row r="253" spans="1:7" ht="15">
      <c r="A253" s="81" t="s">
        <v>2678</v>
      </c>
      <c r="B253" s="80">
        <v>2</v>
      </c>
      <c r="C253" s="109">
        <v>0.0015062665990149948</v>
      </c>
      <c r="D253" s="80" t="s">
        <v>2799</v>
      </c>
      <c r="E253" s="80" t="b">
        <v>0</v>
      </c>
      <c r="F253" s="80" t="b">
        <v>0</v>
      </c>
      <c r="G253" s="80" t="b">
        <v>0</v>
      </c>
    </row>
    <row r="254" spans="1:7" ht="15">
      <c r="A254" s="81" t="s">
        <v>2679</v>
      </c>
      <c r="B254" s="80">
        <v>2</v>
      </c>
      <c r="C254" s="109">
        <v>0.0017516048187900405</v>
      </c>
      <c r="D254" s="80" t="s">
        <v>2799</v>
      </c>
      <c r="E254" s="80" t="b">
        <v>0</v>
      </c>
      <c r="F254" s="80" t="b">
        <v>0</v>
      </c>
      <c r="G254" s="80" t="b">
        <v>0</v>
      </c>
    </row>
    <row r="255" spans="1:7" ht="15">
      <c r="A255" s="81" t="s">
        <v>2680</v>
      </c>
      <c r="B255" s="80">
        <v>2</v>
      </c>
      <c r="C255" s="109">
        <v>0.0015062665990149948</v>
      </c>
      <c r="D255" s="80" t="s">
        <v>2799</v>
      </c>
      <c r="E255" s="80" t="b">
        <v>0</v>
      </c>
      <c r="F255" s="80" t="b">
        <v>0</v>
      </c>
      <c r="G255" s="80" t="b">
        <v>0</v>
      </c>
    </row>
    <row r="256" spans="1:7" ht="15">
      <c r="A256" s="81" t="s">
        <v>2681</v>
      </c>
      <c r="B256" s="80">
        <v>2</v>
      </c>
      <c r="C256" s="109">
        <v>0.0015062665990149948</v>
      </c>
      <c r="D256" s="80" t="s">
        <v>2799</v>
      </c>
      <c r="E256" s="80" t="b">
        <v>0</v>
      </c>
      <c r="F256" s="80" t="b">
        <v>0</v>
      </c>
      <c r="G256" s="80" t="b">
        <v>0</v>
      </c>
    </row>
    <row r="257" spans="1:7" ht="15">
      <c r="A257" s="81" t="s">
        <v>2682</v>
      </c>
      <c r="B257" s="80">
        <v>2</v>
      </c>
      <c r="C257" s="109">
        <v>0.0017516048187900405</v>
      </c>
      <c r="D257" s="80" t="s">
        <v>2799</v>
      </c>
      <c r="E257" s="80" t="b">
        <v>1</v>
      </c>
      <c r="F257" s="80" t="b">
        <v>0</v>
      </c>
      <c r="G257" s="80" t="b">
        <v>0</v>
      </c>
    </row>
    <row r="258" spans="1:7" ht="15">
      <c r="A258" s="81" t="s">
        <v>2683</v>
      </c>
      <c r="B258" s="80">
        <v>2</v>
      </c>
      <c r="C258" s="109">
        <v>0.0015062665990149948</v>
      </c>
      <c r="D258" s="80" t="s">
        <v>2799</v>
      </c>
      <c r="E258" s="80" t="b">
        <v>0</v>
      </c>
      <c r="F258" s="80" t="b">
        <v>1</v>
      </c>
      <c r="G258" s="80" t="b">
        <v>0</v>
      </c>
    </row>
    <row r="259" spans="1:7" ht="15">
      <c r="A259" s="81" t="s">
        <v>2684</v>
      </c>
      <c r="B259" s="80">
        <v>2</v>
      </c>
      <c r="C259" s="109">
        <v>0.0017516048187900405</v>
      </c>
      <c r="D259" s="80" t="s">
        <v>2799</v>
      </c>
      <c r="E259" s="80" t="b">
        <v>0</v>
      </c>
      <c r="F259" s="80" t="b">
        <v>0</v>
      </c>
      <c r="G259" s="80" t="b">
        <v>0</v>
      </c>
    </row>
    <row r="260" spans="1:7" ht="15">
      <c r="A260" s="81" t="s">
        <v>2685</v>
      </c>
      <c r="B260" s="80">
        <v>2</v>
      </c>
      <c r="C260" s="109">
        <v>0.0015062665990149948</v>
      </c>
      <c r="D260" s="80" t="s">
        <v>2799</v>
      </c>
      <c r="E260" s="80" t="b">
        <v>0</v>
      </c>
      <c r="F260" s="80" t="b">
        <v>0</v>
      </c>
      <c r="G260" s="80" t="b">
        <v>0</v>
      </c>
    </row>
    <row r="261" spans="1:7" ht="15">
      <c r="A261" s="81" t="s">
        <v>2686</v>
      </c>
      <c r="B261" s="80">
        <v>2</v>
      </c>
      <c r="C261" s="109">
        <v>0.0017516048187900405</v>
      </c>
      <c r="D261" s="80" t="s">
        <v>2799</v>
      </c>
      <c r="E261" s="80" t="b">
        <v>0</v>
      </c>
      <c r="F261" s="80" t="b">
        <v>0</v>
      </c>
      <c r="G261" s="80" t="b">
        <v>0</v>
      </c>
    </row>
    <row r="262" spans="1:7" ht="15">
      <c r="A262" s="81" t="s">
        <v>2687</v>
      </c>
      <c r="B262" s="80">
        <v>2</v>
      </c>
      <c r="C262" s="109">
        <v>0.0015062665990149948</v>
      </c>
      <c r="D262" s="80" t="s">
        <v>2799</v>
      </c>
      <c r="E262" s="80" t="b">
        <v>0</v>
      </c>
      <c r="F262" s="80" t="b">
        <v>0</v>
      </c>
      <c r="G262" s="80" t="b">
        <v>0</v>
      </c>
    </row>
    <row r="263" spans="1:7" ht="15">
      <c r="A263" s="81" t="s">
        <v>2688</v>
      </c>
      <c r="B263" s="80">
        <v>2</v>
      </c>
      <c r="C263" s="109">
        <v>0.0015062665990149948</v>
      </c>
      <c r="D263" s="80" t="s">
        <v>2799</v>
      </c>
      <c r="E263" s="80" t="b">
        <v>0</v>
      </c>
      <c r="F263" s="80" t="b">
        <v>0</v>
      </c>
      <c r="G263" s="80" t="b">
        <v>0</v>
      </c>
    </row>
    <row r="264" spans="1:7" ht="15">
      <c r="A264" s="81" t="s">
        <v>2689</v>
      </c>
      <c r="B264" s="80">
        <v>2</v>
      </c>
      <c r="C264" s="109">
        <v>0.0015062665990149948</v>
      </c>
      <c r="D264" s="80" t="s">
        <v>2799</v>
      </c>
      <c r="E264" s="80" t="b">
        <v>0</v>
      </c>
      <c r="F264" s="80" t="b">
        <v>0</v>
      </c>
      <c r="G264" s="80" t="b">
        <v>0</v>
      </c>
    </row>
    <row r="265" spans="1:7" ht="15">
      <c r="A265" s="81" t="s">
        <v>2690</v>
      </c>
      <c r="B265" s="80">
        <v>2</v>
      </c>
      <c r="C265" s="109">
        <v>0.0015062665990149948</v>
      </c>
      <c r="D265" s="80" t="s">
        <v>2799</v>
      </c>
      <c r="E265" s="80" t="b">
        <v>0</v>
      </c>
      <c r="F265" s="80" t="b">
        <v>0</v>
      </c>
      <c r="G265" s="80" t="b">
        <v>0</v>
      </c>
    </row>
    <row r="266" spans="1:7" ht="15">
      <c r="A266" s="81" t="s">
        <v>2691</v>
      </c>
      <c r="B266" s="80">
        <v>2</v>
      </c>
      <c r="C266" s="109">
        <v>0.0015062665990149948</v>
      </c>
      <c r="D266" s="80" t="s">
        <v>2799</v>
      </c>
      <c r="E266" s="80" t="b">
        <v>0</v>
      </c>
      <c r="F266" s="80" t="b">
        <v>0</v>
      </c>
      <c r="G266" s="80" t="b">
        <v>0</v>
      </c>
    </row>
    <row r="267" spans="1:7" ht="15">
      <c r="A267" s="81" t="s">
        <v>2692</v>
      </c>
      <c r="B267" s="80">
        <v>2</v>
      </c>
      <c r="C267" s="109">
        <v>0.0015062665990149948</v>
      </c>
      <c r="D267" s="80" t="s">
        <v>2799</v>
      </c>
      <c r="E267" s="80" t="b">
        <v>0</v>
      </c>
      <c r="F267" s="80" t="b">
        <v>0</v>
      </c>
      <c r="G267" s="80" t="b">
        <v>0</v>
      </c>
    </row>
    <row r="268" spans="1:7" ht="15">
      <c r="A268" s="81" t="s">
        <v>2693</v>
      </c>
      <c r="B268" s="80">
        <v>2</v>
      </c>
      <c r="C268" s="109">
        <v>0.0015062665990149948</v>
      </c>
      <c r="D268" s="80" t="s">
        <v>2799</v>
      </c>
      <c r="E268" s="80" t="b">
        <v>0</v>
      </c>
      <c r="F268" s="80" t="b">
        <v>0</v>
      </c>
      <c r="G268" s="80" t="b">
        <v>0</v>
      </c>
    </row>
    <row r="269" spans="1:7" ht="15">
      <c r="A269" s="81" t="s">
        <v>2694</v>
      </c>
      <c r="B269" s="80">
        <v>2</v>
      </c>
      <c r="C269" s="109">
        <v>0.0015062665990149948</v>
      </c>
      <c r="D269" s="80" t="s">
        <v>2799</v>
      </c>
      <c r="E269" s="80" t="b">
        <v>0</v>
      </c>
      <c r="F269" s="80" t="b">
        <v>0</v>
      </c>
      <c r="G269" s="80" t="b">
        <v>0</v>
      </c>
    </row>
    <row r="270" spans="1:7" ht="15">
      <c r="A270" s="81" t="s">
        <v>2695</v>
      </c>
      <c r="B270" s="80">
        <v>2</v>
      </c>
      <c r="C270" s="109">
        <v>0.0015062665990149948</v>
      </c>
      <c r="D270" s="80" t="s">
        <v>2799</v>
      </c>
      <c r="E270" s="80" t="b">
        <v>0</v>
      </c>
      <c r="F270" s="80" t="b">
        <v>0</v>
      </c>
      <c r="G270" s="80" t="b">
        <v>0</v>
      </c>
    </row>
    <row r="271" spans="1:7" ht="15">
      <c r="A271" s="81" t="s">
        <v>2696</v>
      </c>
      <c r="B271" s="80">
        <v>2</v>
      </c>
      <c r="C271" s="109">
        <v>0.0015062665990149948</v>
      </c>
      <c r="D271" s="80" t="s">
        <v>2799</v>
      </c>
      <c r="E271" s="80" t="b">
        <v>0</v>
      </c>
      <c r="F271" s="80" t="b">
        <v>0</v>
      </c>
      <c r="G271" s="80" t="b">
        <v>0</v>
      </c>
    </row>
    <row r="272" spans="1:7" ht="15">
      <c r="A272" s="81" t="s">
        <v>2697</v>
      </c>
      <c r="B272" s="80">
        <v>2</v>
      </c>
      <c r="C272" s="109">
        <v>0.0015062665990149948</v>
      </c>
      <c r="D272" s="80" t="s">
        <v>2799</v>
      </c>
      <c r="E272" s="80" t="b">
        <v>0</v>
      </c>
      <c r="F272" s="80" t="b">
        <v>0</v>
      </c>
      <c r="G272" s="80" t="b">
        <v>0</v>
      </c>
    </row>
    <row r="273" spans="1:7" ht="15">
      <c r="A273" s="81" t="s">
        <v>2698</v>
      </c>
      <c r="B273" s="80">
        <v>2</v>
      </c>
      <c r="C273" s="109">
        <v>0.0015062665990149948</v>
      </c>
      <c r="D273" s="80" t="s">
        <v>2799</v>
      </c>
      <c r="E273" s="80" t="b">
        <v>0</v>
      </c>
      <c r="F273" s="80" t="b">
        <v>1</v>
      </c>
      <c r="G273" s="80" t="b">
        <v>0</v>
      </c>
    </row>
    <row r="274" spans="1:7" ht="15">
      <c r="A274" s="81" t="s">
        <v>2699</v>
      </c>
      <c r="B274" s="80">
        <v>2</v>
      </c>
      <c r="C274" s="109">
        <v>0.0015062665990149948</v>
      </c>
      <c r="D274" s="80" t="s">
        <v>2799</v>
      </c>
      <c r="E274" s="80" t="b">
        <v>0</v>
      </c>
      <c r="F274" s="80" t="b">
        <v>0</v>
      </c>
      <c r="G274" s="80" t="b">
        <v>0</v>
      </c>
    </row>
    <row r="275" spans="1:7" ht="15">
      <c r="A275" s="81" t="s">
        <v>2700</v>
      </c>
      <c r="B275" s="80">
        <v>2</v>
      </c>
      <c r="C275" s="109">
        <v>0.0015062665990149948</v>
      </c>
      <c r="D275" s="80" t="s">
        <v>2799</v>
      </c>
      <c r="E275" s="80" t="b">
        <v>0</v>
      </c>
      <c r="F275" s="80" t="b">
        <v>0</v>
      </c>
      <c r="G275" s="80" t="b">
        <v>0</v>
      </c>
    </row>
    <row r="276" spans="1:7" ht="15">
      <c r="A276" s="81" t="s">
        <v>2701</v>
      </c>
      <c r="B276" s="80">
        <v>2</v>
      </c>
      <c r="C276" s="109">
        <v>0.0017516048187900405</v>
      </c>
      <c r="D276" s="80" t="s">
        <v>2799</v>
      </c>
      <c r="E276" s="80" t="b">
        <v>0</v>
      </c>
      <c r="F276" s="80" t="b">
        <v>0</v>
      </c>
      <c r="G276" s="80" t="b">
        <v>0</v>
      </c>
    </row>
    <row r="277" spans="1:7" ht="15">
      <c r="A277" s="81" t="s">
        <v>376</v>
      </c>
      <c r="B277" s="80">
        <v>2</v>
      </c>
      <c r="C277" s="109">
        <v>0.0015062665990149948</v>
      </c>
      <c r="D277" s="80" t="s">
        <v>2799</v>
      </c>
      <c r="E277" s="80" t="b">
        <v>0</v>
      </c>
      <c r="F277" s="80" t="b">
        <v>0</v>
      </c>
      <c r="G277" s="80" t="b">
        <v>0</v>
      </c>
    </row>
    <row r="278" spans="1:7" ht="15">
      <c r="A278" s="81" t="s">
        <v>2702</v>
      </c>
      <c r="B278" s="80">
        <v>2</v>
      </c>
      <c r="C278" s="109">
        <v>0.0015062665990149948</v>
      </c>
      <c r="D278" s="80" t="s">
        <v>2799</v>
      </c>
      <c r="E278" s="80" t="b">
        <v>0</v>
      </c>
      <c r="F278" s="80" t="b">
        <v>0</v>
      </c>
      <c r="G278" s="80" t="b">
        <v>0</v>
      </c>
    </row>
    <row r="279" spans="1:7" ht="15">
      <c r="A279" s="81" t="s">
        <v>2703</v>
      </c>
      <c r="B279" s="80">
        <v>2</v>
      </c>
      <c r="C279" s="109">
        <v>0.0015062665990149948</v>
      </c>
      <c r="D279" s="80" t="s">
        <v>2799</v>
      </c>
      <c r="E279" s="80" t="b">
        <v>0</v>
      </c>
      <c r="F279" s="80" t="b">
        <v>0</v>
      </c>
      <c r="G279" s="80" t="b">
        <v>0</v>
      </c>
    </row>
    <row r="280" spans="1:7" ht="15">
      <c r="A280" s="81" t="s">
        <v>2704</v>
      </c>
      <c r="B280" s="80">
        <v>2</v>
      </c>
      <c r="C280" s="109">
        <v>0.0015062665990149948</v>
      </c>
      <c r="D280" s="80" t="s">
        <v>2799</v>
      </c>
      <c r="E280" s="80" t="b">
        <v>0</v>
      </c>
      <c r="F280" s="80" t="b">
        <v>0</v>
      </c>
      <c r="G280" s="80" t="b">
        <v>0</v>
      </c>
    </row>
    <row r="281" spans="1:7" ht="15">
      <c r="A281" s="81" t="s">
        <v>2705</v>
      </c>
      <c r="B281" s="80">
        <v>2</v>
      </c>
      <c r="C281" s="109">
        <v>0.0015062665990149948</v>
      </c>
      <c r="D281" s="80" t="s">
        <v>2799</v>
      </c>
      <c r="E281" s="80" t="b">
        <v>0</v>
      </c>
      <c r="F281" s="80" t="b">
        <v>0</v>
      </c>
      <c r="G281" s="80" t="b">
        <v>0</v>
      </c>
    </row>
    <row r="282" spans="1:7" ht="15">
      <c r="A282" s="81" t="s">
        <v>2706</v>
      </c>
      <c r="B282" s="80">
        <v>2</v>
      </c>
      <c r="C282" s="109">
        <v>0.0015062665990149948</v>
      </c>
      <c r="D282" s="80" t="s">
        <v>2799</v>
      </c>
      <c r="E282" s="80" t="b">
        <v>0</v>
      </c>
      <c r="F282" s="80" t="b">
        <v>0</v>
      </c>
      <c r="G282" s="80" t="b">
        <v>0</v>
      </c>
    </row>
    <row r="283" spans="1:7" ht="15">
      <c r="A283" s="81" t="s">
        <v>2707</v>
      </c>
      <c r="B283" s="80">
        <v>2</v>
      </c>
      <c r="C283" s="109">
        <v>0.0015062665990149948</v>
      </c>
      <c r="D283" s="80" t="s">
        <v>2799</v>
      </c>
      <c r="E283" s="80" t="b">
        <v>0</v>
      </c>
      <c r="F283" s="80" t="b">
        <v>0</v>
      </c>
      <c r="G283" s="80" t="b">
        <v>0</v>
      </c>
    </row>
    <row r="284" spans="1:7" ht="15">
      <c r="A284" s="81" t="s">
        <v>2708</v>
      </c>
      <c r="B284" s="80">
        <v>2</v>
      </c>
      <c r="C284" s="109">
        <v>0.0015062665990149948</v>
      </c>
      <c r="D284" s="80" t="s">
        <v>2799</v>
      </c>
      <c r="E284" s="80" t="b">
        <v>0</v>
      </c>
      <c r="F284" s="80" t="b">
        <v>1</v>
      </c>
      <c r="G284" s="80" t="b">
        <v>0</v>
      </c>
    </row>
    <row r="285" spans="1:7" ht="15">
      <c r="A285" s="81" t="s">
        <v>2709</v>
      </c>
      <c r="B285" s="80">
        <v>2</v>
      </c>
      <c r="C285" s="109">
        <v>0.0015062665990149948</v>
      </c>
      <c r="D285" s="80" t="s">
        <v>2799</v>
      </c>
      <c r="E285" s="80" t="b">
        <v>0</v>
      </c>
      <c r="F285" s="80" t="b">
        <v>0</v>
      </c>
      <c r="G285" s="80" t="b">
        <v>0</v>
      </c>
    </row>
    <row r="286" spans="1:7" ht="15">
      <c r="A286" s="81" t="s">
        <v>2710</v>
      </c>
      <c r="B286" s="80">
        <v>2</v>
      </c>
      <c r="C286" s="109">
        <v>0.0015062665990149948</v>
      </c>
      <c r="D286" s="80" t="s">
        <v>2799</v>
      </c>
      <c r="E286" s="80" t="b">
        <v>0</v>
      </c>
      <c r="F286" s="80" t="b">
        <v>1</v>
      </c>
      <c r="G286" s="80" t="b">
        <v>0</v>
      </c>
    </row>
    <row r="287" spans="1:7" ht="15">
      <c r="A287" s="81" t="s">
        <v>2711</v>
      </c>
      <c r="B287" s="80">
        <v>2</v>
      </c>
      <c r="C287" s="109">
        <v>0.0015062665990149948</v>
      </c>
      <c r="D287" s="80" t="s">
        <v>2799</v>
      </c>
      <c r="E287" s="80" t="b">
        <v>0</v>
      </c>
      <c r="F287" s="80" t="b">
        <v>0</v>
      </c>
      <c r="G287" s="80" t="b">
        <v>0</v>
      </c>
    </row>
    <row r="288" spans="1:7" ht="15">
      <c r="A288" s="81" t="s">
        <v>2712</v>
      </c>
      <c r="B288" s="80">
        <v>2</v>
      </c>
      <c r="C288" s="109">
        <v>0.0015062665990149948</v>
      </c>
      <c r="D288" s="80" t="s">
        <v>2799</v>
      </c>
      <c r="E288" s="80" t="b">
        <v>0</v>
      </c>
      <c r="F288" s="80" t="b">
        <v>0</v>
      </c>
      <c r="G288" s="80" t="b">
        <v>0</v>
      </c>
    </row>
    <row r="289" spans="1:7" ht="15">
      <c r="A289" s="81" t="s">
        <v>2713</v>
      </c>
      <c r="B289" s="80">
        <v>2</v>
      </c>
      <c r="C289" s="109">
        <v>0.0017516048187900405</v>
      </c>
      <c r="D289" s="80" t="s">
        <v>2799</v>
      </c>
      <c r="E289" s="80" t="b">
        <v>0</v>
      </c>
      <c r="F289" s="80" t="b">
        <v>0</v>
      </c>
      <c r="G289" s="80" t="b">
        <v>0</v>
      </c>
    </row>
    <row r="290" spans="1:7" ht="15">
      <c r="A290" s="81" t="s">
        <v>2714</v>
      </c>
      <c r="B290" s="80">
        <v>2</v>
      </c>
      <c r="C290" s="109">
        <v>0.0015062665990149948</v>
      </c>
      <c r="D290" s="80" t="s">
        <v>2799</v>
      </c>
      <c r="E290" s="80" t="b">
        <v>0</v>
      </c>
      <c r="F290" s="80" t="b">
        <v>0</v>
      </c>
      <c r="G290" s="80" t="b">
        <v>0</v>
      </c>
    </row>
    <row r="291" spans="1:7" ht="15">
      <c r="A291" s="81" t="s">
        <v>2715</v>
      </c>
      <c r="B291" s="80">
        <v>2</v>
      </c>
      <c r="C291" s="109">
        <v>0.0015062665990149948</v>
      </c>
      <c r="D291" s="80" t="s">
        <v>2799</v>
      </c>
      <c r="E291" s="80" t="b">
        <v>0</v>
      </c>
      <c r="F291" s="80" t="b">
        <v>0</v>
      </c>
      <c r="G291" s="80" t="b">
        <v>0</v>
      </c>
    </row>
    <row r="292" spans="1:7" ht="15">
      <c r="A292" s="81" t="s">
        <v>2716</v>
      </c>
      <c r="B292" s="80">
        <v>2</v>
      </c>
      <c r="C292" s="109">
        <v>0.0015062665990149948</v>
      </c>
      <c r="D292" s="80" t="s">
        <v>2799</v>
      </c>
      <c r="E292" s="80" t="b">
        <v>0</v>
      </c>
      <c r="F292" s="80" t="b">
        <v>1</v>
      </c>
      <c r="G292" s="80" t="b">
        <v>0</v>
      </c>
    </row>
    <row r="293" spans="1:7" ht="15">
      <c r="A293" s="81" t="s">
        <v>2717</v>
      </c>
      <c r="B293" s="80">
        <v>2</v>
      </c>
      <c r="C293" s="109">
        <v>0.0015062665990149948</v>
      </c>
      <c r="D293" s="80" t="s">
        <v>2799</v>
      </c>
      <c r="E293" s="80" t="b">
        <v>0</v>
      </c>
      <c r="F293" s="80" t="b">
        <v>0</v>
      </c>
      <c r="G293" s="80" t="b">
        <v>0</v>
      </c>
    </row>
    <row r="294" spans="1:7" ht="15">
      <c r="A294" s="81" t="s">
        <v>363</v>
      </c>
      <c r="B294" s="80">
        <v>2</v>
      </c>
      <c r="C294" s="109">
        <v>0.0015062665990149948</v>
      </c>
      <c r="D294" s="80" t="s">
        <v>2799</v>
      </c>
      <c r="E294" s="80" t="b">
        <v>0</v>
      </c>
      <c r="F294" s="80" t="b">
        <v>0</v>
      </c>
      <c r="G294" s="80" t="b">
        <v>0</v>
      </c>
    </row>
    <row r="295" spans="1:7" ht="15">
      <c r="A295" s="81" t="s">
        <v>2718</v>
      </c>
      <c r="B295" s="80">
        <v>2</v>
      </c>
      <c r="C295" s="109">
        <v>0.0015062665990149948</v>
      </c>
      <c r="D295" s="80" t="s">
        <v>2799</v>
      </c>
      <c r="E295" s="80" t="b">
        <v>0</v>
      </c>
      <c r="F295" s="80" t="b">
        <v>0</v>
      </c>
      <c r="G295" s="80" t="b">
        <v>0</v>
      </c>
    </row>
    <row r="296" spans="1:7" ht="15">
      <c r="A296" s="81" t="s">
        <v>2719</v>
      </c>
      <c r="B296" s="80">
        <v>2</v>
      </c>
      <c r="C296" s="109">
        <v>0.0015062665990149948</v>
      </c>
      <c r="D296" s="80" t="s">
        <v>2799</v>
      </c>
      <c r="E296" s="80" t="b">
        <v>0</v>
      </c>
      <c r="F296" s="80" t="b">
        <v>0</v>
      </c>
      <c r="G296" s="80" t="b">
        <v>0</v>
      </c>
    </row>
    <row r="297" spans="1:7" ht="15">
      <c r="A297" s="81" t="s">
        <v>2720</v>
      </c>
      <c r="B297" s="80">
        <v>2</v>
      </c>
      <c r="C297" s="109">
        <v>0.0015062665990149948</v>
      </c>
      <c r="D297" s="80" t="s">
        <v>2799</v>
      </c>
      <c r="E297" s="80" t="b">
        <v>0</v>
      </c>
      <c r="F297" s="80" t="b">
        <v>0</v>
      </c>
      <c r="G297" s="80" t="b">
        <v>0</v>
      </c>
    </row>
    <row r="298" spans="1:7" ht="15">
      <c r="A298" s="81" t="s">
        <v>2721</v>
      </c>
      <c r="B298" s="80">
        <v>2</v>
      </c>
      <c r="C298" s="109">
        <v>0.0015062665990149948</v>
      </c>
      <c r="D298" s="80" t="s">
        <v>2799</v>
      </c>
      <c r="E298" s="80" t="b">
        <v>0</v>
      </c>
      <c r="F298" s="80" t="b">
        <v>0</v>
      </c>
      <c r="G298" s="80" t="b">
        <v>0</v>
      </c>
    </row>
    <row r="299" spans="1:7" ht="15">
      <c r="A299" s="81" t="s">
        <v>2722</v>
      </c>
      <c r="B299" s="80">
        <v>2</v>
      </c>
      <c r="C299" s="109">
        <v>0.0015062665990149948</v>
      </c>
      <c r="D299" s="80" t="s">
        <v>2799</v>
      </c>
      <c r="E299" s="80" t="b">
        <v>0</v>
      </c>
      <c r="F299" s="80" t="b">
        <v>0</v>
      </c>
      <c r="G299" s="80" t="b">
        <v>0</v>
      </c>
    </row>
    <row r="300" spans="1:7" ht="15">
      <c r="A300" s="81" t="s">
        <v>2723</v>
      </c>
      <c r="B300" s="80">
        <v>2</v>
      </c>
      <c r="C300" s="109">
        <v>0.0015062665990149948</v>
      </c>
      <c r="D300" s="80" t="s">
        <v>2799</v>
      </c>
      <c r="E300" s="80" t="b">
        <v>0</v>
      </c>
      <c r="F300" s="80" t="b">
        <v>1</v>
      </c>
      <c r="G300" s="80" t="b">
        <v>0</v>
      </c>
    </row>
    <row r="301" spans="1:7" ht="15">
      <c r="A301" s="81" t="s">
        <v>2724</v>
      </c>
      <c r="B301" s="80">
        <v>2</v>
      </c>
      <c r="C301" s="109">
        <v>0.0015062665990149948</v>
      </c>
      <c r="D301" s="80" t="s">
        <v>2799</v>
      </c>
      <c r="E301" s="80" t="b">
        <v>0</v>
      </c>
      <c r="F301" s="80" t="b">
        <v>0</v>
      </c>
      <c r="G301" s="80" t="b">
        <v>0</v>
      </c>
    </row>
    <row r="302" spans="1:7" ht="15">
      <c r="A302" s="81" t="s">
        <v>2725</v>
      </c>
      <c r="B302" s="80">
        <v>2</v>
      </c>
      <c r="C302" s="109">
        <v>0.0015062665990149948</v>
      </c>
      <c r="D302" s="80" t="s">
        <v>2799</v>
      </c>
      <c r="E302" s="80" t="b">
        <v>1</v>
      </c>
      <c r="F302" s="80" t="b">
        <v>0</v>
      </c>
      <c r="G302" s="80" t="b">
        <v>0</v>
      </c>
    </row>
    <row r="303" spans="1:7" ht="15">
      <c r="A303" s="81" t="s">
        <v>2726</v>
      </c>
      <c r="B303" s="80">
        <v>2</v>
      </c>
      <c r="C303" s="109">
        <v>0.0015062665990149948</v>
      </c>
      <c r="D303" s="80" t="s">
        <v>2799</v>
      </c>
      <c r="E303" s="80" t="b">
        <v>0</v>
      </c>
      <c r="F303" s="80" t="b">
        <v>1</v>
      </c>
      <c r="G303" s="80" t="b">
        <v>0</v>
      </c>
    </row>
    <row r="304" spans="1:7" ht="15">
      <c r="A304" s="81" t="s">
        <v>2727</v>
      </c>
      <c r="B304" s="80">
        <v>2</v>
      </c>
      <c r="C304" s="109">
        <v>0.0017516048187900405</v>
      </c>
      <c r="D304" s="80" t="s">
        <v>2799</v>
      </c>
      <c r="E304" s="80" t="b">
        <v>0</v>
      </c>
      <c r="F304" s="80" t="b">
        <v>0</v>
      </c>
      <c r="G304" s="80" t="b">
        <v>0</v>
      </c>
    </row>
    <row r="305" spans="1:7" ht="15">
      <c r="A305" s="81" t="s">
        <v>2728</v>
      </c>
      <c r="B305" s="80">
        <v>2</v>
      </c>
      <c r="C305" s="109">
        <v>0.0015062665990149948</v>
      </c>
      <c r="D305" s="80" t="s">
        <v>2799</v>
      </c>
      <c r="E305" s="80" t="b">
        <v>0</v>
      </c>
      <c r="F305" s="80" t="b">
        <v>0</v>
      </c>
      <c r="G305" s="80" t="b">
        <v>0</v>
      </c>
    </row>
    <row r="306" spans="1:7" ht="15">
      <c r="A306" s="81" t="s">
        <v>2729</v>
      </c>
      <c r="B306" s="80">
        <v>2</v>
      </c>
      <c r="C306" s="109">
        <v>0.0015062665990149948</v>
      </c>
      <c r="D306" s="80" t="s">
        <v>2799</v>
      </c>
      <c r="E306" s="80" t="b">
        <v>0</v>
      </c>
      <c r="F306" s="80" t="b">
        <v>1</v>
      </c>
      <c r="G306" s="80" t="b">
        <v>0</v>
      </c>
    </row>
    <row r="307" spans="1:7" ht="15">
      <c r="A307" s="81" t="s">
        <v>2730</v>
      </c>
      <c r="B307" s="80">
        <v>2</v>
      </c>
      <c r="C307" s="109">
        <v>0.0015062665990149948</v>
      </c>
      <c r="D307" s="80" t="s">
        <v>2799</v>
      </c>
      <c r="E307" s="80" t="b">
        <v>0</v>
      </c>
      <c r="F307" s="80" t="b">
        <v>0</v>
      </c>
      <c r="G307" s="80" t="b">
        <v>0</v>
      </c>
    </row>
    <row r="308" spans="1:7" ht="15">
      <c r="A308" s="81" t="s">
        <v>2731</v>
      </c>
      <c r="B308" s="80">
        <v>2</v>
      </c>
      <c r="C308" s="109">
        <v>0.0015062665990149948</v>
      </c>
      <c r="D308" s="80" t="s">
        <v>2799</v>
      </c>
      <c r="E308" s="80" t="b">
        <v>0</v>
      </c>
      <c r="F308" s="80" t="b">
        <v>1</v>
      </c>
      <c r="G308" s="80" t="b">
        <v>0</v>
      </c>
    </row>
    <row r="309" spans="1:7" ht="15">
      <c r="A309" s="81" t="s">
        <v>2732</v>
      </c>
      <c r="B309" s="80">
        <v>2</v>
      </c>
      <c r="C309" s="109">
        <v>0.0017516048187900405</v>
      </c>
      <c r="D309" s="80" t="s">
        <v>2799</v>
      </c>
      <c r="E309" s="80" t="b">
        <v>0</v>
      </c>
      <c r="F309" s="80" t="b">
        <v>0</v>
      </c>
      <c r="G309" s="80" t="b">
        <v>0</v>
      </c>
    </row>
    <row r="310" spans="1:7" ht="15">
      <c r="A310" s="81" t="s">
        <v>2733</v>
      </c>
      <c r="B310" s="80">
        <v>2</v>
      </c>
      <c r="C310" s="109">
        <v>0.0017516048187900405</v>
      </c>
      <c r="D310" s="80" t="s">
        <v>2799</v>
      </c>
      <c r="E310" s="80" t="b">
        <v>0</v>
      </c>
      <c r="F310" s="80" t="b">
        <v>0</v>
      </c>
      <c r="G310" s="80" t="b">
        <v>0</v>
      </c>
    </row>
    <row r="311" spans="1:7" ht="15">
      <c r="A311" s="81" t="s">
        <v>415</v>
      </c>
      <c r="B311" s="80">
        <v>2</v>
      </c>
      <c r="C311" s="109">
        <v>0.0015062665990149948</v>
      </c>
      <c r="D311" s="80" t="s">
        <v>2799</v>
      </c>
      <c r="E311" s="80" t="b">
        <v>0</v>
      </c>
      <c r="F311" s="80" t="b">
        <v>0</v>
      </c>
      <c r="G311" s="80" t="b">
        <v>0</v>
      </c>
    </row>
    <row r="312" spans="1:7" ht="15">
      <c r="A312" s="81" t="s">
        <v>2734</v>
      </c>
      <c r="B312" s="80">
        <v>2</v>
      </c>
      <c r="C312" s="109">
        <v>0.0015062665990149948</v>
      </c>
      <c r="D312" s="80" t="s">
        <v>2799</v>
      </c>
      <c r="E312" s="80" t="b">
        <v>0</v>
      </c>
      <c r="F312" s="80" t="b">
        <v>0</v>
      </c>
      <c r="G312" s="80" t="b">
        <v>0</v>
      </c>
    </row>
    <row r="313" spans="1:7" ht="15">
      <c r="A313" s="81" t="s">
        <v>2735</v>
      </c>
      <c r="B313" s="80">
        <v>2</v>
      </c>
      <c r="C313" s="109">
        <v>0.0015062665990149948</v>
      </c>
      <c r="D313" s="80" t="s">
        <v>2799</v>
      </c>
      <c r="E313" s="80" t="b">
        <v>0</v>
      </c>
      <c r="F313" s="80" t="b">
        <v>0</v>
      </c>
      <c r="G313" s="80" t="b">
        <v>0</v>
      </c>
    </row>
    <row r="314" spans="1:7" ht="15">
      <c r="A314" s="81" t="s">
        <v>2736</v>
      </c>
      <c r="B314" s="80">
        <v>2</v>
      </c>
      <c r="C314" s="109">
        <v>0.0017516048187900405</v>
      </c>
      <c r="D314" s="80" t="s">
        <v>2799</v>
      </c>
      <c r="E314" s="80" t="b">
        <v>0</v>
      </c>
      <c r="F314" s="80" t="b">
        <v>0</v>
      </c>
      <c r="G314" s="80" t="b">
        <v>0</v>
      </c>
    </row>
    <row r="315" spans="1:7" ht="15">
      <c r="A315" s="81" t="s">
        <v>2737</v>
      </c>
      <c r="B315" s="80">
        <v>2</v>
      </c>
      <c r="C315" s="109">
        <v>0.0015062665990149948</v>
      </c>
      <c r="D315" s="80" t="s">
        <v>2799</v>
      </c>
      <c r="E315" s="80" t="b">
        <v>0</v>
      </c>
      <c r="F315" s="80" t="b">
        <v>0</v>
      </c>
      <c r="G315" s="80" t="b">
        <v>0</v>
      </c>
    </row>
    <row r="316" spans="1:7" ht="15">
      <c r="A316" s="81" t="s">
        <v>2738</v>
      </c>
      <c r="B316" s="80">
        <v>2</v>
      </c>
      <c r="C316" s="109">
        <v>0.0017516048187900405</v>
      </c>
      <c r="D316" s="80" t="s">
        <v>2799</v>
      </c>
      <c r="E316" s="80" t="b">
        <v>0</v>
      </c>
      <c r="F316" s="80" t="b">
        <v>0</v>
      </c>
      <c r="G316" s="80" t="b">
        <v>0</v>
      </c>
    </row>
    <row r="317" spans="1:7" ht="15">
      <c r="A317" s="81" t="s">
        <v>2739</v>
      </c>
      <c r="B317" s="80">
        <v>2</v>
      </c>
      <c r="C317" s="109">
        <v>0.0015062665990149948</v>
      </c>
      <c r="D317" s="80" t="s">
        <v>2799</v>
      </c>
      <c r="E317" s="80" t="b">
        <v>0</v>
      </c>
      <c r="F317" s="80" t="b">
        <v>0</v>
      </c>
      <c r="G317" s="80" t="b">
        <v>0</v>
      </c>
    </row>
    <row r="318" spans="1:7" ht="15">
      <c r="A318" s="81" t="s">
        <v>2740</v>
      </c>
      <c r="B318" s="80">
        <v>2</v>
      </c>
      <c r="C318" s="109">
        <v>0.0015062665990149948</v>
      </c>
      <c r="D318" s="80" t="s">
        <v>2799</v>
      </c>
      <c r="E318" s="80" t="b">
        <v>0</v>
      </c>
      <c r="F318" s="80" t="b">
        <v>0</v>
      </c>
      <c r="G318" s="80" t="b">
        <v>0</v>
      </c>
    </row>
    <row r="319" spans="1:7" ht="15">
      <c r="A319" s="81" t="s">
        <v>2741</v>
      </c>
      <c r="B319" s="80">
        <v>2</v>
      </c>
      <c r="C319" s="109">
        <v>0.0015062665990149948</v>
      </c>
      <c r="D319" s="80" t="s">
        <v>2799</v>
      </c>
      <c r="E319" s="80" t="b">
        <v>0</v>
      </c>
      <c r="F319" s="80" t="b">
        <v>0</v>
      </c>
      <c r="G319" s="80" t="b">
        <v>0</v>
      </c>
    </row>
    <row r="320" spans="1:7" ht="15">
      <c r="A320" s="81" t="s">
        <v>2742</v>
      </c>
      <c r="B320" s="80">
        <v>2</v>
      </c>
      <c r="C320" s="109">
        <v>0.0017516048187900405</v>
      </c>
      <c r="D320" s="80" t="s">
        <v>2799</v>
      </c>
      <c r="E320" s="80" t="b">
        <v>0</v>
      </c>
      <c r="F320" s="80" t="b">
        <v>0</v>
      </c>
      <c r="G320" s="80" t="b">
        <v>0</v>
      </c>
    </row>
    <row r="321" spans="1:7" ht="15">
      <c r="A321" s="81" t="s">
        <v>2743</v>
      </c>
      <c r="B321" s="80">
        <v>2</v>
      </c>
      <c r="C321" s="109">
        <v>0.0015062665990149948</v>
      </c>
      <c r="D321" s="80" t="s">
        <v>2799</v>
      </c>
      <c r="E321" s="80" t="b">
        <v>0</v>
      </c>
      <c r="F321" s="80" t="b">
        <v>0</v>
      </c>
      <c r="G321" s="80" t="b">
        <v>0</v>
      </c>
    </row>
    <row r="322" spans="1:7" ht="15">
      <c r="A322" s="81" t="s">
        <v>2744</v>
      </c>
      <c r="B322" s="80">
        <v>2</v>
      </c>
      <c r="C322" s="109">
        <v>0.0015062665990149948</v>
      </c>
      <c r="D322" s="80" t="s">
        <v>2799</v>
      </c>
      <c r="E322" s="80" t="b">
        <v>1</v>
      </c>
      <c r="F322" s="80" t="b">
        <v>0</v>
      </c>
      <c r="G322" s="80" t="b">
        <v>0</v>
      </c>
    </row>
    <row r="323" spans="1:7" ht="15">
      <c r="A323" s="81" t="s">
        <v>2745</v>
      </c>
      <c r="B323" s="80">
        <v>2</v>
      </c>
      <c r="C323" s="109">
        <v>0.0015062665990149948</v>
      </c>
      <c r="D323" s="80" t="s">
        <v>2799</v>
      </c>
      <c r="E323" s="80" t="b">
        <v>0</v>
      </c>
      <c r="F323" s="80" t="b">
        <v>0</v>
      </c>
      <c r="G323" s="80" t="b">
        <v>0</v>
      </c>
    </row>
    <row r="324" spans="1:7" ht="15">
      <c r="A324" s="81" t="s">
        <v>2746</v>
      </c>
      <c r="B324" s="80">
        <v>2</v>
      </c>
      <c r="C324" s="109">
        <v>0.0015062665990149948</v>
      </c>
      <c r="D324" s="80" t="s">
        <v>2799</v>
      </c>
      <c r="E324" s="80" t="b">
        <v>0</v>
      </c>
      <c r="F324" s="80" t="b">
        <v>0</v>
      </c>
      <c r="G324" s="80" t="b">
        <v>0</v>
      </c>
    </row>
    <row r="325" spans="1:7" ht="15">
      <c r="A325" s="81" t="s">
        <v>2747</v>
      </c>
      <c r="B325" s="80">
        <v>2</v>
      </c>
      <c r="C325" s="109">
        <v>0.0017516048187900405</v>
      </c>
      <c r="D325" s="80" t="s">
        <v>2799</v>
      </c>
      <c r="E325" s="80" t="b">
        <v>0</v>
      </c>
      <c r="F325" s="80" t="b">
        <v>0</v>
      </c>
      <c r="G325" s="80" t="b">
        <v>0</v>
      </c>
    </row>
    <row r="326" spans="1:7" ht="15">
      <c r="A326" s="81" t="s">
        <v>2748</v>
      </c>
      <c r="B326" s="80">
        <v>2</v>
      </c>
      <c r="C326" s="109">
        <v>0.0015062665990149948</v>
      </c>
      <c r="D326" s="80" t="s">
        <v>2799</v>
      </c>
      <c r="E326" s="80" t="b">
        <v>0</v>
      </c>
      <c r="F326" s="80" t="b">
        <v>0</v>
      </c>
      <c r="G326" s="80" t="b">
        <v>0</v>
      </c>
    </row>
    <row r="327" spans="1:7" ht="15">
      <c r="A327" s="81" t="s">
        <v>2749</v>
      </c>
      <c r="B327" s="80">
        <v>2</v>
      </c>
      <c r="C327" s="109">
        <v>0.0015062665990149948</v>
      </c>
      <c r="D327" s="80" t="s">
        <v>2799</v>
      </c>
      <c r="E327" s="80" t="b">
        <v>0</v>
      </c>
      <c r="F327" s="80" t="b">
        <v>0</v>
      </c>
      <c r="G327" s="80" t="b">
        <v>0</v>
      </c>
    </row>
    <row r="328" spans="1:7" ht="15">
      <c r="A328" s="81" t="s">
        <v>2750</v>
      </c>
      <c r="B328" s="80">
        <v>2</v>
      </c>
      <c r="C328" s="109">
        <v>0.0015062665990149948</v>
      </c>
      <c r="D328" s="80" t="s">
        <v>2799</v>
      </c>
      <c r="E328" s="80" t="b">
        <v>0</v>
      </c>
      <c r="F328" s="80" t="b">
        <v>0</v>
      </c>
      <c r="G328" s="80" t="b">
        <v>0</v>
      </c>
    </row>
    <row r="329" spans="1:7" ht="15">
      <c r="A329" s="81" t="s">
        <v>2751</v>
      </c>
      <c r="B329" s="80">
        <v>2</v>
      </c>
      <c r="C329" s="109">
        <v>0.0017516048187900405</v>
      </c>
      <c r="D329" s="80" t="s">
        <v>2799</v>
      </c>
      <c r="E329" s="80" t="b">
        <v>0</v>
      </c>
      <c r="F329" s="80" t="b">
        <v>0</v>
      </c>
      <c r="G329" s="80" t="b">
        <v>0</v>
      </c>
    </row>
    <row r="330" spans="1:7" ht="15">
      <c r="A330" s="81" t="s">
        <v>2752</v>
      </c>
      <c r="B330" s="80">
        <v>2</v>
      </c>
      <c r="C330" s="109">
        <v>0.0015062665990149948</v>
      </c>
      <c r="D330" s="80" t="s">
        <v>2799</v>
      </c>
      <c r="E330" s="80" t="b">
        <v>0</v>
      </c>
      <c r="F330" s="80" t="b">
        <v>0</v>
      </c>
      <c r="G330" s="80" t="b">
        <v>0</v>
      </c>
    </row>
    <row r="331" spans="1:7" ht="15">
      <c r="A331" s="81" t="s">
        <v>2753</v>
      </c>
      <c r="B331" s="80">
        <v>2</v>
      </c>
      <c r="C331" s="109">
        <v>0.0015062665990149948</v>
      </c>
      <c r="D331" s="80" t="s">
        <v>2799</v>
      </c>
      <c r="E331" s="80" t="b">
        <v>0</v>
      </c>
      <c r="F331" s="80" t="b">
        <v>1</v>
      </c>
      <c r="G331" s="80" t="b">
        <v>0</v>
      </c>
    </row>
    <row r="332" spans="1:7" ht="15">
      <c r="A332" s="81" t="s">
        <v>2754</v>
      </c>
      <c r="B332" s="80">
        <v>2</v>
      </c>
      <c r="C332" s="109">
        <v>0.0017516048187900405</v>
      </c>
      <c r="D332" s="80" t="s">
        <v>2799</v>
      </c>
      <c r="E332" s="80" t="b">
        <v>0</v>
      </c>
      <c r="F332" s="80" t="b">
        <v>0</v>
      </c>
      <c r="G332" s="80" t="b">
        <v>0</v>
      </c>
    </row>
    <row r="333" spans="1:7" ht="15">
      <c r="A333" s="81" t="s">
        <v>2755</v>
      </c>
      <c r="B333" s="80">
        <v>2</v>
      </c>
      <c r="C333" s="109">
        <v>0.0015062665990149948</v>
      </c>
      <c r="D333" s="80" t="s">
        <v>2799</v>
      </c>
      <c r="E333" s="80" t="b">
        <v>0</v>
      </c>
      <c r="F333" s="80" t="b">
        <v>0</v>
      </c>
      <c r="G333" s="80" t="b">
        <v>0</v>
      </c>
    </row>
    <row r="334" spans="1:7" ht="15">
      <c r="A334" s="81" t="s">
        <v>2756</v>
      </c>
      <c r="B334" s="80">
        <v>2</v>
      </c>
      <c r="C334" s="109">
        <v>0.0015062665990149948</v>
      </c>
      <c r="D334" s="80" t="s">
        <v>2799</v>
      </c>
      <c r="E334" s="80" t="b">
        <v>0</v>
      </c>
      <c r="F334" s="80" t="b">
        <v>0</v>
      </c>
      <c r="G334" s="80" t="b">
        <v>0</v>
      </c>
    </row>
    <row r="335" spans="1:7" ht="15">
      <c r="A335" s="81" t="s">
        <v>2757</v>
      </c>
      <c r="B335" s="80">
        <v>2</v>
      </c>
      <c r="C335" s="109">
        <v>0.0017516048187900405</v>
      </c>
      <c r="D335" s="80" t="s">
        <v>2799</v>
      </c>
      <c r="E335" s="80" t="b">
        <v>0</v>
      </c>
      <c r="F335" s="80" t="b">
        <v>0</v>
      </c>
      <c r="G335" s="80" t="b">
        <v>0</v>
      </c>
    </row>
    <row r="336" spans="1:7" ht="15">
      <c r="A336" s="81" t="s">
        <v>2758</v>
      </c>
      <c r="B336" s="80">
        <v>2</v>
      </c>
      <c r="C336" s="109">
        <v>0.0017516048187900405</v>
      </c>
      <c r="D336" s="80" t="s">
        <v>2799</v>
      </c>
      <c r="E336" s="80" t="b">
        <v>0</v>
      </c>
      <c r="F336" s="80" t="b">
        <v>0</v>
      </c>
      <c r="G336" s="80" t="b">
        <v>0</v>
      </c>
    </row>
    <row r="337" spans="1:7" ht="15">
      <c r="A337" s="81" t="s">
        <v>2759</v>
      </c>
      <c r="B337" s="80">
        <v>2</v>
      </c>
      <c r="C337" s="109">
        <v>0.0015062665990149948</v>
      </c>
      <c r="D337" s="80" t="s">
        <v>2799</v>
      </c>
      <c r="E337" s="80" t="b">
        <v>0</v>
      </c>
      <c r="F337" s="80" t="b">
        <v>0</v>
      </c>
      <c r="G337" s="80" t="b">
        <v>0</v>
      </c>
    </row>
    <row r="338" spans="1:7" ht="15">
      <c r="A338" s="81" t="s">
        <v>2760</v>
      </c>
      <c r="B338" s="80">
        <v>2</v>
      </c>
      <c r="C338" s="109">
        <v>0.0015062665990149948</v>
      </c>
      <c r="D338" s="80" t="s">
        <v>2799</v>
      </c>
      <c r="E338" s="80" t="b">
        <v>0</v>
      </c>
      <c r="F338" s="80" t="b">
        <v>0</v>
      </c>
      <c r="G338" s="80" t="b">
        <v>0</v>
      </c>
    </row>
    <row r="339" spans="1:7" ht="15">
      <c r="A339" s="81" t="s">
        <v>2761</v>
      </c>
      <c r="B339" s="80">
        <v>2</v>
      </c>
      <c r="C339" s="109">
        <v>0.0015062665990149948</v>
      </c>
      <c r="D339" s="80" t="s">
        <v>2799</v>
      </c>
      <c r="E339" s="80" t="b">
        <v>0</v>
      </c>
      <c r="F339" s="80" t="b">
        <v>0</v>
      </c>
      <c r="G339" s="80" t="b">
        <v>0</v>
      </c>
    </row>
    <row r="340" spans="1:7" ht="15">
      <c r="A340" s="81" t="s">
        <v>2762</v>
      </c>
      <c r="B340" s="80">
        <v>2</v>
      </c>
      <c r="C340" s="109">
        <v>0.0017516048187900405</v>
      </c>
      <c r="D340" s="80" t="s">
        <v>2799</v>
      </c>
      <c r="E340" s="80" t="b">
        <v>0</v>
      </c>
      <c r="F340" s="80" t="b">
        <v>0</v>
      </c>
      <c r="G340" s="80" t="b">
        <v>0</v>
      </c>
    </row>
    <row r="341" spans="1:7" ht="15">
      <c r="A341" s="81" t="s">
        <v>2763</v>
      </c>
      <c r="B341" s="80">
        <v>2</v>
      </c>
      <c r="C341" s="109">
        <v>0.0015062665990149948</v>
      </c>
      <c r="D341" s="80" t="s">
        <v>2799</v>
      </c>
      <c r="E341" s="80" t="b">
        <v>0</v>
      </c>
      <c r="F341" s="80" t="b">
        <v>0</v>
      </c>
      <c r="G341" s="80" t="b">
        <v>0</v>
      </c>
    </row>
    <row r="342" spans="1:7" ht="15">
      <c r="A342" s="81" t="s">
        <v>2764</v>
      </c>
      <c r="B342" s="80">
        <v>2</v>
      </c>
      <c r="C342" s="109">
        <v>0.0015062665990149948</v>
      </c>
      <c r="D342" s="80" t="s">
        <v>2799</v>
      </c>
      <c r="E342" s="80" t="b">
        <v>0</v>
      </c>
      <c r="F342" s="80" t="b">
        <v>0</v>
      </c>
      <c r="G342" s="80" t="b">
        <v>0</v>
      </c>
    </row>
    <row r="343" spans="1:7" ht="15">
      <c r="A343" s="81" t="s">
        <v>2765</v>
      </c>
      <c r="B343" s="80">
        <v>2</v>
      </c>
      <c r="C343" s="109">
        <v>0.0015062665990149948</v>
      </c>
      <c r="D343" s="80" t="s">
        <v>2799</v>
      </c>
      <c r="E343" s="80" t="b">
        <v>0</v>
      </c>
      <c r="F343" s="80" t="b">
        <v>0</v>
      </c>
      <c r="G343" s="80" t="b">
        <v>0</v>
      </c>
    </row>
    <row r="344" spans="1:7" ht="15">
      <c r="A344" s="81" t="s">
        <v>2766</v>
      </c>
      <c r="B344" s="80">
        <v>2</v>
      </c>
      <c r="C344" s="109">
        <v>0.0015062665990149948</v>
      </c>
      <c r="D344" s="80" t="s">
        <v>2799</v>
      </c>
      <c r="E344" s="80" t="b">
        <v>0</v>
      </c>
      <c r="F344" s="80" t="b">
        <v>0</v>
      </c>
      <c r="G344" s="80" t="b">
        <v>0</v>
      </c>
    </row>
    <row r="345" spans="1:7" ht="15">
      <c r="A345" s="81" t="s">
        <v>416</v>
      </c>
      <c r="B345" s="80">
        <v>2</v>
      </c>
      <c r="C345" s="109">
        <v>0.0015062665990149948</v>
      </c>
      <c r="D345" s="80" t="s">
        <v>2799</v>
      </c>
      <c r="E345" s="80" t="b">
        <v>0</v>
      </c>
      <c r="F345" s="80" t="b">
        <v>0</v>
      </c>
      <c r="G345" s="80" t="b">
        <v>0</v>
      </c>
    </row>
    <row r="346" spans="1:7" ht="15">
      <c r="A346" s="81" t="s">
        <v>2767</v>
      </c>
      <c r="B346" s="80">
        <v>2</v>
      </c>
      <c r="C346" s="109">
        <v>0.0015062665990149948</v>
      </c>
      <c r="D346" s="80" t="s">
        <v>2799</v>
      </c>
      <c r="E346" s="80" t="b">
        <v>0</v>
      </c>
      <c r="F346" s="80" t="b">
        <v>0</v>
      </c>
      <c r="G346" s="80" t="b">
        <v>0</v>
      </c>
    </row>
    <row r="347" spans="1:7" ht="15">
      <c r="A347" s="81" t="s">
        <v>2768</v>
      </c>
      <c r="B347" s="80">
        <v>2</v>
      </c>
      <c r="C347" s="109">
        <v>0.0015062665990149948</v>
      </c>
      <c r="D347" s="80" t="s">
        <v>2799</v>
      </c>
      <c r="E347" s="80" t="b">
        <v>0</v>
      </c>
      <c r="F347" s="80" t="b">
        <v>0</v>
      </c>
      <c r="G347" s="80" t="b">
        <v>0</v>
      </c>
    </row>
    <row r="348" spans="1:7" ht="15">
      <c r="A348" s="81" t="s">
        <v>2769</v>
      </c>
      <c r="B348" s="80">
        <v>2</v>
      </c>
      <c r="C348" s="109">
        <v>0.0015062665990149948</v>
      </c>
      <c r="D348" s="80" t="s">
        <v>2799</v>
      </c>
      <c r="E348" s="80" t="b">
        <v>0</v>
      </c>
      <c r="F348" s="80" t="b">
        <v>0</v>
      </c>
      <c r="G348" s="80" t="b">
        <v>0</v>
      </c>
    </row>
    <row r="349" spans="1:7" ht="15">
      <c r="A349" s="81" t="s">
        <v>2770</v>
      </c>
      <c r="B349" s="80">
        <v>2</v>
      </c>
      <c r="C349" s="109">
        <v>0.0015062665990149948</v>
      </c>
      <c r="D349" s="80" t="s">
        <v>2799</v>
      </c>
      <c r="E349" s="80" t="b">
        <v>0</v>
      </c>
      <c r="F349" s="80" t="b">
        <v>0</v>
      </c>
      <c r="G349" s="80" t="b">
        <v>0</v>
      </c>
    </row>
    <row r="350" spans="1:7" ht="15">
      <c r="A350" s="81" t="s">
        <v>2771</v>
      </c>
      <c r="B350" s="80">
        <v>2</v>
      </c>
      <c r="C350" s="109">
        <v>0.0015062665990149948</v>
      </c>
      <c r="D350" s="80" t="s">
        <v>2799</v>
      </c>
      <c r="E350" s="80" t="b">
        <v>0</v>
      </c>
      <c r="F350" s="80" t="b">
        <v>0</v>
      </c>
      <c r="G350" s="80" t="b">
        <v>0</v>
      </c>
    </row>
    <row r="351" spans="1:7" ht="15">
      <c r="A351" s="81" t="s">
        <v>2772</v>
      </c>
      <c r="B351" s="80">
        <v>2</v>
      </c>
      <c r="C351" s="109">
        <v>0.0015062665990149948</v>
      </c>
      <c r="D351" s="80" t="s">
        <v>2799</v>
      </c>
      <c r="E351" s="80" t="b">
        <v>0</v>
      </c>
      <c r="F351" s="80" t="b">
        <v>0</v>
      </c>
      <c r="G351" s="80" t="b">
        <v>0</v>
      </c>
    </row>
    <row r="352" spans="1:7" ht="15">
      <c r="A352" s="81" t="s">
        <v>2773</v>
      </c>
      <c r="B352" s="80">
        <v>2</v>
      </c>
      <c r="C352" s="109">
        <v>0.0015062665990149948</v>
      </c>
      <c r="D352" s="80" t="s">
        <v>2799</v>
      </c>
      <c r="E352" s="80" t="b">
        <v>0</v>
      </c>
      <c r="F352" s="80" t="b">
        <v>0</v>
      </c>
      <c r="G352" s="80" t="b">
        <v>0</v>
      </c>
    </row>
    <row r="353" spans="1:7" ht="15">
      <c r="A353" s="81" t="s">
        <v>2774</v>
      </c>
      <c r="B353" s="80">
        <v>2</v>
      </c>
      <c r="C353" s="109">
        <v>0.0015062665990149948</v>
      </c>
      <c r="D353" s="80" t="s">
        <v>2799</v>
      </c>
      <c r="E353" s="80" t="b">
        <v>0</v>
      </c>
      <c r="F353" s="80" t="b">
        <v>0</v>
      </c>
      <c r="G353" s="80" t="b">
        <v>0</v>
      </c>
    </row>
    <row r="354" spans="1:7" ht="15">
      <c r="A354" s="81" t="s">
        <v>2775</v>
      </c>
      <c r="B354" s="80">
        <v>2</v>
      </c>
      <c r="C354" s="109">
        <v>0.0015062665990149948</v>
      </c>
      <c r="D354" s="80" t="s">
        <v>2799</v>
      </c>
      <c r="E354" s="80" t="b">
        <v>0</v>
      </c>
      <c r="F354" s="80" t="b">
        <v>0</v>
      </c>
      <c r="G354" s="80" t="b">
        <v>0</v>
      </c>
    </row>
    <row r="355" spans="1:7" ht="15">
      <c r="A355" s="81" t="s">
        <v>2776</v>
      </c>
      <c r="B355" s="80">
        <v>2</v>
      </c>
      <c r="C355" s="109">
        <v>0.0017516048187900405</v>
      </c>
      <c r="D355" s="80" t="s">
        <v>2799</v>
      </c>
      <c r="E355" s="80" t="b">
        <v>0</v>
      </c>
      <c r="F355" s="80" t="b">
        <v>0</v>
      </c>
      <c r="G355" s="80" t="b">
        <v>0</v>
      </c>
    </row>
    <row r="356" spans="1:7" ht="15">
      <c r="A356" s="81" t="s">
        <v>2777</v>
      </c>
      <c r="B356" s="80">
        <v>2</v>
      </c>
      <c r="C356" s="109">
        <v>0.0015062665990149948</v>
      </c>
      <c r="D356" s="80" t="s">
        <v>2799</v>
      </c>
      <c r="E356" s="80" t="b">
        <v>0</v>
      </c>
      <c r="F356" s="80" t="b">
        <v>0</v>
      </c>
      <c r="G356" s="80" t="b">
        <v>0</v>
      </c>
    </row>
    <row r="357" spans="1:7" ht="15">
      <c r="A357" s="81" t="s">
        <v>2778</v>
      </c>
      <c r="B357" s="80">
        <v>2</v>
      </c>
      <c r="C357" s="109">
        <v>0.0015062665990149948</v>
      </c>
      <c r="D357" s="80" t="s">
        <v>2799</v>
      </c>
      <c r="E357" s="80" t="b">
        <v>0</v>
      </c>
      <c r="F357" s="80" t="b">
        <v>0</v>
      </c>
      <c r="G357" s="80" t="b">
        <v>0</v>
      </c>
    </row>
    <row r="358" spans="1:7" ht="15">
      <c r="A358" s="81" t="s">
        <v>420</v>
      </c>
      <c r="B358" s="80">
        <v>2</v>
      </c>
      <c r="C358" s="109">
        <v>0.0017516048187900405</v>
      </c>
      <c r="D358" s="80" t="s">
        <v>2799</v>
      </c>
      <c r="E358" s="80" t="b">
        <v>0</v>
      </c>
      <c r="F358" s="80" t="b">
        <v>0</v>
      </c>
      <c r="G358" s="80" t="b">
        <v>0</v>
      </c>
    </row>
    <row r="359" spans="1:7" ht="15">
      <c r="A359" s="81" t="s">
        <v>2779</v>
      </c>
      <c r="B359" s="80">
        <v>2</v>
      </c>
      <c r="C359" s="109">
        <v>0.0015062665990149948</v>
      </c>
      <c r="D359" s="80" t="s">
        <v>2799</v>
      </c>
      <c r="E359" s="80" t="b">
        <v>0</v>
      </c>
      <c r="F359" s="80" t="b">
        <v>0</v>
      </c>
      <c r="G359" s="80" t="b">
        <v>0</v>
      </c>
    </row>
    <row r="360" spans="1:7" ht="15">
      <c r="A360" s="81" t="s">
        <v>2780</v>
      </c>
      <c r="B360" s="80">
        <v>2</v>
      </c>
      <c r="C360" s="109">
        <v>0.0015062665990149948</v>
      </c>
      <c r="D360" s="80" t="s">
        <v>2799</v>
      </c>
      <c r="E360" s="80" t="b">
        <v>0</v>
      </c>
      <c r="F360" s="80" t="b">
        <v>0</v>
      </c>
      <c r="G360" s="80" t="b">
        <v>0</v>
      </c>
    </row>
    <row r="361" spans="1:7" ht="15">
      <c r="A361" s="81" t="s">
        <v>2781</v>
      </c>
      <c r="B361" s="80">
        <v>2</v>
      </c>
      <c r="C361" s="109">
        <v>0.0015062665990149948</v>
      </c>
      <c r="D361" s="80" t="s">
        <v>2799</v>
      </c>
      <c r="E361" s="80" t="b">
        <v>0</v>
      </c>
      <c r="F361" s="80" t="b">
        <v>0</v>
      </c>
      <c r="G361" s="80" t="b">
        <v>0</v>
      </c>
    </row>
    <row r="362" spans="1:7" ht="15">
      <c r="A362" s="81" t="s">
        <v>2782</v>
      </c>
      <c r="B362" s="80">
        <v>2</v>
      </c>
      <c r="C362" s="109">
        <v>0.0015062665990149948</v>
      </c>
      <c r="D362" s="80" t="s">
        <v>2799</v>
      </c>
      <c r="E362" s="80" t="b">
        <v>1</v>
      </c>
      <c r="F362" s="80" t="b">
        <v>0</v>
      </c>
      <c r="G362" s="80" t="b">
        <v>0</v>
      </c>
    </row>
    <row r="363" spans="1:7" ht="15">
      <c r="A363" s="81" t="s">
        <v>2783</v>
      </c>
      <c r="B363" s="80">
        <v>2</v>
      </c>
      <c r="C363" s="109">
        <v>0.0015062665990149948</v>
      </c>
      <c r="D363" s="80" t="s">
        <v>2799</v>
      </c>
      <c r="E363" s="80" t="b">
        <v>0</v>
      </c>
      <c r="F363" s="80" t="b">
        <v>0</v>
      </c>
      <c r="G363" s="80" t="b">
        <v>0</v>
      </c>
    </row>
    <row r="364" spans="1:7" ht="15">
      <c r="A364" s="81" t="s">
        <v>2784</v>
      </c>
      <c r="B364" s="80">
        <v>2</v>
      </c>
      <c r="C364" s="109">
        <v>0.0015062665990149948</v>
      </c>
      <c r="D364" s="80" t="s">
        <v>2799</v>
      </c>
      <c r="E364" s="80" t="b">
        <v>0</v>
      </c>
      <c r="F364" s="80" t="b">
        <v>0</v>
      </c>
      <c r="G364" s="80" t="b">
        <v>0</v>
      </c>
    </row>
    <row r="365" spans="1:7" ht="15">
      <c r="A365" s="81" t="s">
        <v>2785</v>
      </c>
      <c r="B365" s="80">
        <v>2</v>
      </c>
      <c r="C365" s="109">
        <v>0.0015062665990149948</v>
      </c>
      <c r="D365" s="80" t="s">
        <v>2799</v>
      </c>
      <c r="E365" s="80" t="b">
        <v>0</v>
      </c>
      <c r="F365" s="80" t="b">
        <v>0</v>
      </c>
      <c r="G365" s="80" t="b">
        <v>0</v>
      </c>
    </row>
    <row r="366" spans="1:7" ht="15">
      <c r="A366" s="81" t="s">
        <v>2786</v>
      </c>
      <c r="B366" s="80">
        <v>2</v>
      </c>
      <c r="C366" s="109">
        <v>0.0017516048187900405</v>
      </c>
      <c r="D366" s="80" t="s">
        <v>2799</v>
      </c>
      <c r="E366" s="80" t="b">
        <v>0</v>
      </c>
      <c r="F366" s="80" t="b">
        <v>0</v>
      </c>
      <c r="G366" s="80" t="b">
        <v>0</v>
      </c>
    </row>
    <row r="367" spans="1:7" ht="15">
      <c r="A367" s="81" t="s">
        <v>2787</v>
      </c>
      <c r="B367" s="80">
        <v>2</v>
      </c>
      <c r="C367" s="109">
        <v>0.0015062665990149948</v>
      </c>
      <c r="D367" s="80" t="s">
        <v>2799</v>
      </c>
      <c r="E367" s="80" t="b">
        <v>0</v>
      </c>
      <c r="F367" s="80" t="b">
        <v>0</v>
      </c>
      <c r="G367" s="80" t="b">
        <v>0</v>
      </c>
    </row>
    <row r="368" spans="1:7" ht="15">
      <c r="A368" s="81" t="s">
        <v>2788</v>
      </c>
      <c r="B368" s="80">
        <v>2</v>
      </c>
      <c r="C368" s="109">
        <v>0.0015062665990149948</v>
      </c>
      <c r="D368" s="80" t="s">
        <v>2799</v>
      </c>
      <c r="E368" s="80" t="b">
        <v>1</v>
      </c>
      <c r="F368" s="80" t="b">
        <v>0</v>
      </c>
      <c r="G368" s="80" t="b">
        <v>0</v>
      </c>
    </row>
    <row r="369" spans="1:7" ht="15">
      <c r="A369" s="81" t="s">
        <v>2789</v>
      </c>
      <c r="B369" s="80">
        <v>2</v>
      </c>
      <c r="C369" s="109">
        <v>0.0015062665990149948</v>
      </c>
      <c r="D369" s="80" t="s">
        <v>2799</v>
      </c>
      <c r="E369" s="80" t="b">
        <v>0</v>
      </c>
      <c r="F369" s="80" t="b">
        <v>0</v>
      </c>
      <c r="G369" s="80" t="b">
        <v>0</v>
      </c>
    </row>
    <row r="370" spans="1:7" ht="15">
      <c r="A370" s="81" t="s">
        <v>2790</v>
      </c>
      <c r="B370" s="80">
        <v>2</v>
      </c>
      <c r="C370" s="109">
        <v>0.0015062665990149948</v>
      </c>
      <c r="D370" s="80" t="s">
        <v>2799</v>
      </c>
      <c r="E370" s="80" t="b">
        <v>1</v>
      </c>
      <c r="F370" s="80" t="b">
        <v>0</v>
      </c>
      <c r="G370" s="80" t="b">
        <v>0</v>
      </c>
    </row>
    <row r="371" spans="1:7" ht="15">
      <c r="A371" s="81" t="s">
        <v>2791</v>
      </c>
      <c r="B371" s="80">
        <v>2</v>
      </c>
      <c r="C371" s="109">
        <v>0.0015062665990149948</v>
      </c>
      <c r="D371" s="80" t="s">
        <v>2799</v>
      </c>
      <c r="E371" s="80" t="b">
        <v>0</v>
      </c>
      <c r="F371" s="80" t="b">
        <v>0</v>
      </c>
      <c r="G371" s="80" t="b">
        <v>0</v>
      </c>
    </row>
    <row r="372" spans="1:7" ht="15">
      <c r="A372" s="81" t="s">
        <v>2792</v>
      </c>
      <c r="B372" s="80">
        <v>2</v>
      </c>
      <c r="C372" s="109">
        <v>0.0015062665990149948</v>
      </c>
      <c r="D372" s="80" t="s">
        <v>2799</v>
      </c>
      <c r="E372" s="80" t="b">
        <v>0</v>
      </c>
      <c r="F372" s="80" t="b">
        <v>0</v>
      </c>
      <c r="G372" s="80" t="b">
        <v>0</v>
      </c>
    </row>
    <row r="373" spans="1:7" ht="15">
      <c r="A373" s="81" t="s">
        <v>2793</v>
      </c>
      <c r="B373" s="80">
        <v>2</v>
      </c>
      <c r="C373" s="109">
        <v>0.0015062665990149948</v>
      </c>
      <c r="D373" s="80" t="s">
        <v>2799</v>
      </c>
      <c r="E373" s="80" t="b">
        <v>0</v>
      </c>
      <c r="F373" s="80" t="b">
        <v>0</v>
      </c>
      <c r="G373" s="80" t="b">
        <v>0</v>
      </c>
    </row>
    <row r="374" spans="1:7" ht="15">
      <c r="A374" s="81" t="s">
        <v>2438</v>
      </c>
      <c r="B374" s="80">
        <v>43</v>
      </c>
      <c r="C374" s="109">
        <v>0</v>
      </c>
      <c r="D374" s="80" t="s">
        <v>2349</v>
      </c>
      <c r="E374" s="80" t="b">
        <v>0</v>
      </c>
      <c r="F374" s="80" t="b">
        <v>1</v>
      </c>
      <c r="G374" s="80" t="b">
        <v>0</v>
      </c>
    </row>
    <row r="375" spans="1:7" ht="15">
      <c r="A375" s="81" t="s">
        <v>2439</v>
      </c>
      <c r="B375" s="80">
        <v>22</v>
      </c>
      <c r="C375" s="109">
        <v>0.009803815171773884</v>
      </c>
      <c r="D375" s="80" t="s">
        <v>2349</v>
      </c>
      <c r="E375" s="80" t="b">
        <v>0</v>
      </c>
      <c r="F375" s="80" t="b">
        <v>1</v>
      </c>
      <c r="G375" s="80" t="b">
        <v>0</v>
      </c>
    </row>
    <row r="376" spans="1:7" ht="15">
      <c r="A376" s="81" t="s">
        <v>2443</v>
      </c>
      <c r="B376" s="80">
        <v>11</v>
      </c>
      <c r="C376" s="109">
        <v>0.008730339778331068</v>
      </c>
      <c r="D376" s="80" t="s">
        <v>2349</v>
      </c>
      <c r="E376" s="80" t="b">
        <v>0</v>
      </c>
      <c r="F376" s="80" t="b">
        <v>0</v>
      </c>
      <c r="G376" s="80" t="b">
        <v>0</v>
      </c>
    </row>
    <row r="377" spans="1:7" ht="15">
      <c r="A377" s="81" t="s">
        <v>2441</v>
      </c>
      <c r="B377" s="80">
        <v>9</v>
      </c>
      <c r="C377" s="109">
        <v>0.009511171233361886</v>
      </c>
      <c r="D377" s="80" t="s">
        <v>2349</v>
      </c>
      <c r="E377" s="80" t="b">
        <v>0</v>
      </c>
      <c r="F377" s="80" t="b">
        <v>0</v>
      </c>
      <c r="G377" s="80" t="b">
        <v>0</v>
      </c>
    </row>
    <row r="378" spans="1:7" ht="15">
      <c r="A378" s="81" t="s">
        <v>2445</v>
      </c>
      <c r="B378" s="80">
        <v>6</v>
      </c>
      <c r="C378" s="109">
        <v>0.0068792268514419</v>
      </c>
      <c r="D378" s="80" t="s">
        <v>2349</v>
      </c>
      <c r="E378" s="80" t="b">
        <v>0</v>
      </c>
      <c r="F378" s="80" t="b">
        <v>0</v>
      </c>
      <c r="G378" s="80" t="b">
        <v>0</v>
      </c>
    </row>
    <row r="379" spans="1:7" ht="15">
      <c r="A379" s="81" t="s">
        <v>2470</v>
      </c>
      <c r="B379" s="80">
        <v>5</v>
      </c>
      <c r="C379" s="109">
        <v>0.006263394445332223</v>
      </c>
      <c r="D379" s="80" t="s">
        <v>2349</v>
      </c>
      <c r="E379" s="80" t="b">
        <v>0</v>
      </c>
      <c r="F379" s="80" t="b">
        <v>0</v>
      </c>
      <c r="G379" s="80" t="b">
        <v>0</v>
      </c>
    </row>
    <row r="380" spans="1:7" ht="15">
      <c r="A380" s="81" t="s">
        <v>2467</v>
      </c>
      <c r="B380" s="80">
        <v>5</v>
      </c>
      <c r="C380" s="109">
        <v>0.006912925363616784</v>
      </c>
      <c r="D380" s="80" t="s">
        <v>2349</v>
      </c>
      <c r="E380" s="80" t="b">
        <v>0</v>
      </c>
      <c r="F380" s="80" t="b">
        <v>0</v>
      </c>
      <c r="G380" s="80" t="b">
        <v>0</v>
      </c>
    </row>
    <row r="381" spans="1:7" ht="15">
      <c r="A381" s="81" t="s">
        <v>2446</v>
      </c>
      <c r="B381" s="80">
        <v>4</v>
      </c>
      <c r="C381" s="109">
        <v>0.005530340290893427</v>
      </c>
      <c r="D381" s="80" t="s">
        <v>2349</v>
      </c>
      <c r="E381" s="80" t="b">
        <v>0</v>
      </c>
      <c r="F381" s="80" t="b">
        <v>0</v>
      </c>
      <c r="G381" s="80" t="b">
        <v>0</v>
      </c>
    </row>
    <row r="382" spans="1:7" ht="15">
      <c r="A382" s="81" t="s">
        <v>2468</v>
      </c>
      <c r="B382" s="80">
        <v>4</v>
      </c>
      <c r="C382" s="109">
        <v>0.005530340290893427</v>
      </c>
      <c r="D382" s="80" t="s">
        <v>2349</v>
      </c>
      <c r="E382" s="80" t="b">
        <v>0</v>
      </c>
      <c r="F382" s="80" t="b">
        <v>0</v>
      </c>
      <c r="G382" s="80" t="b">
        <v>0</v>
      </c>
    </row>
    <row r="383" spans="1:7" ht="15">
      <c r="A383" s="81" t="s">
        <v>2508</v>
      </c>
      <c r="B383" s="80">
        <v>4</v>
      </c>
      <c r="C383" s="109">
        <v>0.005530340290893427</v>
      </c>
      <c r="D383" s="80" t="s">
        <v>2349</v>
      </c>
      <c r="E383" s="80" t="b">
        <v>0</v>
      </c>
      <c r="F383" s="80" t="b">
        <v>0</v>
      </c>
      <c r="G383" s="80" t="b">
        <v>0</v>
      </c>
    </row>
    <row r="384" spans="1:7" ht="15">
      <c r="A384" s="81" t="s">
        <v>2447</v>
      </c>
      <c r="B384" s="80">
        <v>4</v>
      </c>
      <c r="C384" s="109">
        <v>0.006200253087720773</v>
      </c>
      <c r="D384" s="80" t="s">
        <v>2349</v>
      </c>
      <c r="E384" s="80" t="b">
        <v>0</v>
      </c>
      <c r="F384" s="80" t="b">
        <v>0</v>
      </c>
      <c r="G384" s="80" t="b">
        <v>0</v>
      </c>
    </row>
    <row r="385" spans="1:7" ht="15">
      <c r="A385" s="81" t="s">
        <v>2496</v>
      </c>
      <c r="B385" s="80">
        <v>4</v>
      </c>
      <c r="C385" s="109">
        <v>0.005530340290893427</v>
      </c>
      <c r="D385" s="80" t="s">
        <v>2349</v>
      </c>
      <c r="E385" s="80" t="b">
        <v>0</v>
      </c>
      <c r="F385" s="80" t="b">
        <v>0</v>
      </c>
      <c r="G385" s="80" t="b">
        <v>0</v>
      </c>
    </row>
    <row r="386" spans="1:7" ht="15">
      <c r="A386" s="81" t="s">
        <v>2500</v>
      </c>
      <c r="B386" s="80">
        <v>4</v>
      </c>
      <c r="C386" s="109">
        <v>0.006200253087720773</v>
      </c>
      <c r="D386" s="80" t="s">
        <v>2349</v>
      </c>
      <c r="E386" s="80" t="b">
        <v>0</v>
      </c>
      <c r="F386" s="80" t="b">
        <v>0</v>
      </c>
      <c r="G386" s="80" t="b">
        <v>0</v>
      </c>
    </row>
    <row r="387" spans="1:7" ht="15">
      <c r="A387" s="81" t="s">
        <v>2460</v>
      </c>
      <c r="B387" s="80">
        <v>4</v>
      </c>
      <c r="C387" s="109">
        <v>0.005530340290893427</v>
      </c>
      <c r="D387" s="80" t="s">
        <v>2349</v>
      </c>
      <c r="E387" s="80" t="b">
        <v>0</v>
      </c>
      <c r="F387" s="80" t="b">
        <v>0</v>
      </c>
      <c r="G387" s="80" t="b">
        <v>0</v>
      </c>
    </row>
    <row r="388" spans="1:7" ht="15">
      <c r="A388" s="81" t="s">
        <v>2481</v>
      </c>
      <c r="B388" s="80">
        <v>3</v>
      </c>
      <c r="C388" s="109">
        <v>0.004650189815790579</v>
      </c>
      <c r="D388" s="80" t="s">
        <v>2349</v>
      </c>
      <c r="E388" s="80" t="b">
        <v>0</v>
      </c>
      <c r="F388" s="80" t="b">
        <v>0</v>
      </c>
      <c r="G388" s="80" t="b">
        <v>0</v>
      </c>
    </row>
    <row r="389" spans="1:7" ht="15">
      <c r="A389" s="81" t="s">
        <v>2465</v>
      </c>
      <c r="B389" s="80">
        <v>3</v>
      </c>
      <c r="C389" s="109">
        <v>0.004650189815790579</v>
      </c>
      <c r="D389" s="80" t="s">
        <v>2349</v>
      </c>
      <c r="E389" s="80" t="b">
        <v>1</v>
      </c>
      <c r="F389" s="80" t="b">
        <v>0</v>
      </c>
      <c r="G389" s="80" t="b">
        <v>0</v>
      </c>
    </row>
    <row r="390" spans="1:7" ht="15">
      <c r="A390" s="81" t="s">
        <v>2550</v>
      </c>
      <c r="B390" s="80">
        <v>3</v>
      </c>
      <c r="C390" s="109">
        <v>0.004650189815790579</v>
      </c>
      <c r="D390" s="80" t="s">
        <v>2349</v>
      </c>
      <c r="E390" s="80" t="b">
        <v>0</v>
      </c>
      <c r="F390" s="80" t="b">
        <v>0</v>
      </c>
      <c r="G390" s="80" t="b">
        <v>0</v>
      </c>
    </row>
    <row r="391" spans="1:7" ht="15">
      <c r="A391" s="81" t="s">
        <v>2563</v>
      </c>
      <c r="B391" s="80">
        <v>3</v>
      </c>
      <c r="C391" s="109">
        <v>0.004650189815790579</v>
      </c>
      <c r="D391" s="80" t="s">
        <v>2349</v>
      </c>
      <c r="E391" s="80" t="b">
        <v>0</v>
      </c>
      <c r="F391" s="80" t="b">
        <v>0</v>
      </c>
      <c r="G391" s="80" t="b">
        <v>0</v>
      </c>
    </row>
    <row r="392" spans="1:7" ht="15">
      <c r="A392" s="81" t="s">
        <v>2444</v>
      </c>
      <c r="B392" s="80">
        <v>3</v>
      </c>
      <c r="C392" s="109">
        <v>0.004650189815790579</v>
      </c>
      <c r="D392" s="80" t="s">
        <v>2349</v>
      </c>
      <c r="E392" s="80" t="b">
        <v>0</v>
      </c>
      <c r="F392" s="80" t="b">
        <v>0</v>
      </c>
      <c r="G392" s="80" t="b">
        <v>0</v>
      </c>
    </row>
    <row r="393" spans="1:7" ht="15">
      <c r="A393" s="81" t="s">
        <v>2541</v>
      </c>
      <c r="B393" s="80">
        <v>3</v>
      </c>
      <c r="C393" s="109">
        <v>0.004650189815790579</v>
      </c>
      <c r="D393" s="80" t="s">
        <v>2349</v>
      </c>
      <c r="E393" s="80" t="b">
        <v>0</v>
      </c>
      <c r="F393" s="80" t="b">
        <v>0</v>
      </c>
      <c r="G393" s="80" t="b">
        <v>0</v>
      </c>
    </row>
    <row r="394" spans="1:7" ht="15">
      <c r="A394" s="81" t="s">
        <v>2560</v>
      </c>
      <c r="B394" s="80">
        <v>3</v>
      </c>
      <c r="C394" s="109">
        <v>0.004650189815790579</v>
      </c>
      <c r="D394" s="80" t="s">
        <v>2349</v>
      </c>
      <c r="E394" s="80" t="b">
        <v>0</v>
      </c>
      <c r="F394" s="80" t="b">
        <v>0</v>
      </c>
      <c r="G394" s="80" t="b">
        <v>0</v>
      </c>
    </row>
    <row r="395" spans="1:7" ht="15">
      <c r="A395" s="81" t="s">
        <v>2497</v>
      </c>
      <c r="B395" s="80">
        <v>3</v>
      </c>
      <c r="C395" s="109">
        <v>0.004650189815790579</v>
      </c>
      <c r="D395" s="80" t="s">
        <v>2349</v>
      </c>
      <c r="E395" s="80" t="b">
        <v>0</v>
      </c>
      <c r="F395" s="80" t="b">
        <v>0</v>
      </c>
      <c r="G395" s="80" t="b">
        <v>0</v>
      </c>
    </row>
    <row r="396" spans="1:7" ht="15">
      <c r="A396" s="81" t="s">
        <v>2502</v>
      </c>
      <c r="B396" s="80">
        <v>3</v>
      </c>
      <c r="C396" s="109">
        <v>0.004650189815790579</v>
      </c>
      <c r="D396" s="80" t="s">
        <v>2349</v>
      </c>
      <c r="E396" s="80" t="b">
        <v>0</v>
      </c>
      <c r="F396" s="80" t="b">
        <v>0</v>
      </c>
      <c r="G396" s="80" t="b">
        <v>0</v>
      </c>
    </row>
    <row r="397" spans="1:7" ht="15">
      <c r="A397" s="81" t="s">
        <v>2452</v>
      </c>
      <c r="B397" s="80">
        <v>3</v>
      </c>
      <c r="C397" s="109">
        <v>0.004650189815790579</v>
      </c>
      <c r="D397" s="80" t="s">
        <v>2349</v>
      </c>
      <c r="E397" s="80" t="b">
        <v>0</v>
      </c>
      <c r="F397" s="80" t="b">
        <v>0</v>
      </c>
      <c r="G397" s="80" t="b">
        <v>0</v>
      </c>
    </row>
    <row r="398" spans="1:7" ht="15">
      <c r="A398" s="81" t="s">
        <v>2450</v>
      </c>
      <c r="B398" s="80">
        <v>3</v>
      </c>
      <c r="C398" s="109">
        <v>0.004650189815790579</v>
      </c>
      <c r="D398" s="80" t="s">
        <v>2349</v>
      </c>
      <c r="E398" s="80" t="b">
        <v>0</v>
      </c>
      <c r="F398" s="80" t="b">
        <v>0</v>
      </c>
      <c r="G398" s="80" t="b">
        <v>0</v>
      </c>
    </row>
    <row r="399" spans="1:7" ht="15">
      <c r="A399" s="81" t="s">
        <v>2578</v>
      </c>
      <c r="B399" s="80">
        <v>3</v>
      </c>
      <c r="C399" s="109">
        <v>0.004650189815790579</v>
      </c>
      <c r="D399" s="80" t="s">
        <v>2349</v>
      </c>
      <c r="E399" s="80" t="b">
        <v>0</v>
      </c>
      <c r="F399" s="80" t="b">
        <v>0</v>
      </c>
      <c r="G399" s="80" t="b">
        <v>0</v>
      </c>
    </row>
    <row r="400" spans="1:7" ht="15">
      <c r="A400" s="81" t="s">
        <v>2539</v>
      </c>
      <c r="B400" s="80">
        <v>3</v>
      </c>
      <c r="C400" s="109">
        <v>0.004650189815790579</v>
      </c>
      <c r="D400" s="80" t="s">
        <v>2349</v>
      </c>
      <c r="E400" s="80" t="b">
        <v>0</v>
      </c>
      <c r="F400" s="80" t="b">
        <v>0</v>
      </c>
      <c r="G400" s="80" t="b">
        <v>0</v>
      </c>
    </row>
    <row r="401" spans="1:7" ht="15">
      <c r="A401" s="81" t="s">
        <v>2562</v>
      </c>
      <c r="B401" s="80">
        <v>3</v>
      </c>
      <c r="C401" s="109">
        <v>0.004650189815790579</v>
      </c>
      <c r="D401" s="80" t="s">
        <v>2349</v>
      </c>
      <c r="E401" s="80" t="b">
        <v>0</v>
      </c>
      <c r="F401" s="80" t="b">
        <v>0</v>
      </c>
      <c r="G401" s="80" t="b">
        <v>0</v>
      </c>
    </row>
    <row r="402" spans="1:7" ht="15">
      <c r="A402" s="81" t="s">
        <v>2516</v>
      </c>
      <c r="B402" s="80">
        <v>3</v>
      </c>
      <c r="C402" s="109">
        <v>0.004650189815790579</v>
      </c>
      <c r="D402" s="80" t="s">
        <v>2349</v>
      </c>
      <c r="E402" s="80" t="b">
        <v>0</v>
      </c>
      <c r="F402" s="80" t="b">
        <v>0</v>
      </c>
      <c r="G402" s="80" t="b">
        <v>0</v>
      </c>
    </row>
    <row r="403" spans="1:7" ht="15">
      <c r="A403" s="81" t="s">
        <v>2482</v>
      </c>
      <c r="B403" s="80">
        <v>3</v>
      </c>
      <c r="C403" s="109">
        <v>0.004650189815790579</v>
      </c>
      <c r="D403" s="80" t="s">
        <v>2349</v>
      </c>
      <c r="E403" s="80" t="b">
        <v>0</v>
      </c>
      <c r="F403" s="80" t="b">
        <v>1</v>
      </c>
      <c r="G403" s="80" t="b">
        <v>0</v>
      </c>
    </row>
    <row r="404" spans="1:7" ht="15">
      <c r="A404" s="81" t="s">
        <v>2565</v>
      </c>
      <c r="B404" s="80">
        <v>3</v>
      </c>
      <c r="C404" s="109">
        <v>0.004650189815790579</v>
      </c>
      <c r="D404" s="80" t="s">
        <v>2349</v>
      </c>
      <c r="E404" s="80" t="b">
        <v>0</v>
      </c>
      <c r="F404" s="80" t="b">
        <v>0</v>
      </c>
      <c r="G404" s="80" t="b">
        <v>0</v>
      </c>
    </row>
    <row r="405" spans="1:7" ht="15">
      <c r="A405" s="81" t="s">
        <v>2490</v>
      </c>
      <c r="B405" s="80">
        <v>3</v>
      </c>
      <c r="C405" s="109">
        <v>0.0053583316082397</v>
      </c>
      <c r="D405" s="80" t="s">
        <v>2349</v>
      </c>
      <c r="E405" s="80" t="b">
        <v>0</v>
      </c>
      <c r="F405" s="80" t="b">
        <v>0</v>
      </c>
      <c r="G405" s="80" t="b">
        <v>0</v>
      </c>
    </row>
    <row r="406" spans="1:7" ht="15">
      <c r="A406" s="81" t="s">
        <v>2585</v>
      </c>
      <c r="B406" s="80">
        <v>3</v>
      </c>
      <c r="C406" s="109">
        <v>0.004650189815790579</v>
      </c>
      <c r="D406" s="80" t="s">
        <v>2349</v>
      </c>
      <c r="E406" s="80" t="b">
        <v>0</v>
      </c>
      <c r="F406" s="80" t="b">
        <v>0</v>
      </c>
      <c r="G406" s="80" t="b">
        <v>0</v>
      </c>
    </row>
    <row r="407" spans="1:7" ht="15">
      <c r="A407" s="81" t="s">
        <v>2532</v>
      </c>
      <c r="B407" s="80">
        <v>3</v>
      </c>
      <c r="C407" s="109">
        <v>0.004650189815790579</v>
      </c>
      <c r="D407" s="80" t="s">
        <v>2349</v>
      </c>
      <c r="E407" s="80" t="b">
        <v>0</v>
      </c>
      <c r="F407" s="80" t="b">
        <v>0</v>
      </c>
      <c r="G407" s="80" t="b">
        <v>0</v>
      </c>
    </row>
    <row r="408" spans="1:7" ht="15">
      <c r="A408" s="81" t="s">
        <v>2593</v>
      </c>
      <c r="B408" s="80">
        <v>3</v>
      </c>
      <c r="C408" s="109">
        <v>0.004650189815790579</v>
      </c>
      <c r="D408" s="80" t="s">
        <v>2349</v>
      </c>
      <c r="E408" s="80" t="b">
        <v>1</v>
      </c>
      <c r="F408" s="80" t="b">
        <v>0</v>
      </c>
      <c r="G408" s="80" t="b">
        <v>0</v>
      </c>
    </row>
    <row r="409" spans="1:7" ht="15">
      <c r="A409" s="81" t="s">
        <v>2440</v>
      </c>
      <c r="B409" s="80">
        <v>3</v>
      </c>
      <c r="C409" s="109">
        <v>0.004650189815790579</v>
      </c>
      <c r="D409" s="80" t="s">
        <v>2349</v>
      </c>
      <c r="E409" s="80" t="b">
        <v>0</v>
      </c>
      <c r="F409" s="80" t="b">
        <v>0</v>
      </c>
      <c r="G409" s="80" t="b">
        <v>0</v>
      </c>
    </row>
    <row r="410" spans="1:7" ht="15">
      <c r="A410" s="81" t="s">
        <v>2536</v>
      </c>
      <c r="B410" s="80">
        <v>3</v>
      </c>
      <c r="C410" s="109">
        <v>0.004650189815790579</v>
      </c>
      <c r="D410" s="80" t="s">
        <v>2349</v>
      </c>
      <c r="E410" s="80" t="b">
        <v>0</v>
      </c>
      <c r="F410" s="80" t="b">
        <v>0</v>
      </c>
      <c r="G410" s="80" t="b">
        <v>0</v>
      </c>
    </row>
    <row r="411" spans="1:7" ht="15">
      <c r="A411" s="81" t="s">
        <v>2493</v>
      </c>
      <c r="B411" s="80">
        <v>3</v>
      </c>
      <c r="C411" s="109">
        <v>0.004650189815790579</v>
      </c>
      <c r="D411" s="80" t="s">
        <v>2349</v>
      </c>
      <c r="E411" s="80" t="b">
        <v>0</v>
      </c>
      <c r="F411" s="80" t="b">
        <v>0</v>
      </c>
      <c r="G411" s="80" t="b">
        <v>0</v>
      </c>
    </row>
    <row r="412" spans="1:7" ht="15">
      <c r="A412" s="81" t="s">
        <v>2553</v>
      </c>
      <c r="B412" s="80">
        <v>3</v>
      </c>
      <c r="C412" s="109">
        <v>0.0053583316082397</v>
      </c>
      <c r="D412" s="80" t="s">
        <v>2349</v>
      </c>
      <c r="E412" s="80" t="b">
        <v>0</v>
      </c>
      <c r="F412" s="80" t="b">
        <v>0</v>
      </c>
      <c r="G412" s="80" t="b">
        <v>0</v>
      </c>
    </row>
    <row r="413" spans="1:7" ht="15">
      <c r="A413" s="81" t="s">
        <v>2547</v>
      </c>
      <c r="B413" s="80">
        <v>3</v>
      </c>
      <c r="C413" s="109">
        <v>0.004650189815790579</v>
      </c>
      <c r="D413" s="80" t="s">
        <v>2349</v>
      </c>
      <c r="E413" s="80" t="b">
        <v>0</v>
      </c>
      <c r="F413" s="80" t="b">
        <v>0</v>
      </c>
      <c r="G413" s="80" t="b">
        <v>0</v>
      </c>
    </row>
    <row r="414" spans="1:7" ht="15">
      <c r="A414" s="81" t="s">
        <v>2442</v>
      </c>
      <c r="B414" s="80">
        <v>3</v>
      </c>
      <c r="C414" s="109">
        <v>0.004650189815790579</v>
      </c>
      <c r="D414" s="80" t="s">
        <v>2349</v>
      </c>
      <c r="E414" s="80" t="b">
        <v>0</v>
      </c>
      <c r="F414" s="80" t="b">
        <v>0</v>
      </c>
      <c r="G414" s="80" t="b">
        <v>0</v>
      </c>
    </row>
    <row r="415" spans="1:7" ht="15">
      <c r="A415" s="81" t="s">
        <v>2592</v>
      </c>
      <c r="B415" s="80">
        <v>3</v>
      </c>
      <c r="C415" s="109">
        <v>0.004650189815790579</v>
      </c>
      <c r="D415" s="80" t="s">
        <v>2349</v>
      </c>
      <c r="E415" s="80" t="b">
        <v>0</v>
      </c>
      <c r="F415" s="80" t="b">
        <v>0</v>
      </c>
      <c r="G415" s="80" t="b">
        <v>0</v>
      </c>
    </row>
    <row r="416" spans="1:7" ht="15">
      <c r="A416" s="81" t="s">
        <v>2512</v>
      </c>
      <c r="B416" s="80">
        <v>3</v>
      </c>
      <c r="C416" s="109">
        <v>0.004650189815790579</v>
      </c>
      <c r="D416" s="80" t="s">
        <v>2349</v>
      </c>
      <c r="E416" s="80" t="b">
        <v>0</v>
      </c>
      <c r="F416" s="80" t="b">
        <v>0</v>
      </c>
      <c r="G416" s="80" t="b">
        <v>0</v>
      </c>
    </row>
    <row r="417" spans="1:7" ht="15">
      <c r="A417" s="81" t="s">
        <v>2558</v>
      </c>
      <c r="B417" s="80">
        <v>3</v>
      </c>
      <c r="C417" s="109">
        <v>0.004650189815790579</v>
      </c>
      <c r="D417" s="80" t="s">
        <v>2349</v>
      </c>
      <c r="E417" s="80" t="b">
        <v>0</v>
      </c>
      <c r="F417" s="80" t="b">
        <v>0</v>
      </c>
      <c r="G417" s="80" t="b">
        <v>0</v>
      </c>
    </row>
    <row r="418" spans="1:7" ht="15">
      <c r="A418" s="81" t="s">
        <v>2684</v>
      </c>
      <c r="B418" s="80">
        <v>2</v>
      </c>
      <c r="C418" s="109">
        <v>0.004379271998872886</v>
      </c>
      <c r="D418" s="80" t="s">
        <v>2349</v>
      </c>
      <c r="E418" s="80" t="b">
        <v>0</v>
      </c>
      <c r="F418" s="80" t="b">
        <v>0</v>
      </c>
      <c r="G418" s="80" t="b">
        <v>0</v>
      </c>
    </row>
    <row r="419" spans="1:7" ht="15">
      <c r="A419" s="81" t="s">
        <v>2615</v>
      </c>
      <c r="B419" s="80">
        <v>2</v>
      </c>
      <c r="C419" s="109">
        <v>0.0035722210721598</v>
      </c>
      <c r="D419" s="80" t="s">
        <v>2349</v>
      </c>
      <c r="E419" s="80" t="b">
        <v>0</v>
      </c>
      <c r="F419" s="80" t="b">
        <v>0</v>
      </c>
      <c r="G419" s="80" t="b">
        <v>0</v>
      </c>
    </row>
    <row r="420" spans="1:7" ht="15">
      <c r="A420" s="81" t="s">
        <v>2457</v>
      </c>
      <c r="B420" s="80">
        <v>2</v>
      </c>
      <c r="C420" s="109">
        <v>0.0035722210721598</v>
      </c>
      <c r="D420" s="80" t="s">
        <v>2349</v>
      </c>
      <c r="E420" s="80" t="b">
        <v>0</v>
      </c>
      <c r="F420" s="80" t="b">
        <v>0</v>
      </c>
      <c r="G420" s="80" t="b">
        <v>0</v>
      </c>
    </row>
    <row r="421" spans="1:7" ht="15">
      <c r="A421" s="81" t="s">
        <v>2683</v>
      </c>
      <c r="B421" s="80">
        <v>2</v>
      </c>
      <c r="C421" s="109">
        <v>0.0035722210721598</v>
      </c>
      <c r="D421" s="80" t="s">
        <v>2349</v>
      </c>
      <c r="E421" s="80" t="b">
        <v>0</v>
      </c>
      <c r="F421" s="80" t="b">
        <v>1</v>
      </c>
      <c r="G421" s="80" t="b">
        <v>0</v>
      </c>
    </row>
    <row r="422" spans="1:7" ht="15">
      <c r="A422" s="81" t="s">
        <v>2575</v>
      </c>
      <c r="B422" s="80">
        <v>2</v>
      </c>
      <c r="C422" s="109">
        <v>0.0035722210721598</v>
      </c>
      <c r="D422" s="80" t="s">
        <v>2349</v>
      </c>
      <c r="E422" s="80" t="b">
        <v>0</v>
      </c>
      <c r="F422" s="80" t="b">
        <v>0</v>
      </c>
      <c r="G422" s="80" t="b">
        <v>0</v>
      </c>
    </row>
    <row r="423" spans="1:7" ht="15">
      <c r="A423" s="81" t="s">
        <v>2492</v>
      </c>
      <c r="B423" s="80">
        <v>2</v>
      </c>
      <c r="C423" s="109">
        <v>0.004379271998872886</v>
      </c>
      <c r="D423" s="80" t="s">
        <v>2349</v>
      </c>
      <c r="E423" s="80" t="b">
        <v>0</v>
      </c>
      <c r="F423" s="80" t="b">
        <v>0</v>
      </c>
      <c r="G423" s="80" t="b">
        <v>0</v>
      </c>
    </row>
    <row r="424" spans="1:7" ht="15">
      <c r="A424" s="81" t="s">
        <v>2606</v>
      </c>
      <c r="B424" s="80">
        <v>2</v>
      </c>
      <c r="C424" s="109">
        <v>0.004379271998872886</v>
      </c>
      <c r="D424" s="80" t="s">
        <v>2349</v>
      </c>
      <c r="E424" s="80" t="b">
        <v>0</v>
      </c>
      <c r="F424" s="80" t="b">
        <v>0</v>
      </c>
      <c r="G424" s="80" t="b">
        <v>0</v>
      </c>
    </row>
    <row r="425" spans="1:7" ht="15">
      <c r="A425" s="81" t="s">
        <v>2656</v>
      </c>
      <c r="B425" s="80">
        <v>2</v>
      </c>
      <c r="C425" s="109">
        <v>0.004379271998872886</v>
      </c>
      <c r="D425" s="80" t="s">
        <v>2349</v>
      </c>
      <c r="E425" s="80" t="b">
        <v>0</v>
      </c>
      <c r="F425" s="80" t="b">
        <v>0</v>
      </c>
      <c r="G425" s="80" t="b">
        <v>0</v>
      </c>
    </row>
    <row r="426" spans="1:7" ht="15">
      <c r="A426" s="81" t="s">
        <v>2478</v>
      </c>
      <c r="B426" s="80">
        <v>2</v>
      </c>
      <c r="C426" s="109">
        <v>0.0035722210721598</v>
      </c>
      <c r="D426" s="80" t="s">
        <v>2349</v>
      </c>
      <c r="E426" s="80" t="b">
        <v>0</v>
      </c>
      <c r="F426" s="80" t="b">
        <v>0</v>
      </c>
      <c r="G426" s="80" t="b">
        <v>0</v>
      </c>
    </row>
    <row r="427" spans="1:7" ht="15">
      <c r="A427" s="81" t="s">
        <v>2628</v>
      </c>
      <c r="B427" s="80">
        <v>2</v>
      </c>
      <c r="C427" s="109">
        <v>0.0035722210721598</v>
      </c>
      <c r="D427" s="80" t="s">
        <v>2349</v>
      </c>
      <c r="E427" s="80" t="b">
        <v>0</v>
      </c>
      <c r="F427" s="80" t="b">
        <v>0</v>
      </c>
      <c r="G427" s="80" t="b">
        <v>0</v>
      </c>
    </row>
    <row r="428" spans="1:7" ht="15">
      <c r="A428" s="81" t="s">
        <v>2680</v>
      </c>
      <c r="B428" s="80">
        <v>2</v>
      </c>
      <c r="C428" s="109">
        <v>0.0035722210721598</v>
      </c>
      <c r="D428" s="80" t="s">
        <v>2349</v>
      </c>
      <c r="E428" s="80" t="b">
        <v>0</v>
      </c>
      <c r="F428" s="80" t="b">
        <v>0</v>
      </c>
      <c r="G428" s="80" t="b">
        <v>0</v>
      </c>
    </row>
    <row r="429" spans="1:7" ht="15">
      <c r="A429" s="81" t="s">
        <v>2466</v>
      </c>
      <c r="B429" s="80">
        <v>2</v>
      </c>
      <c r="C429" s="109">
        <v>0.0035722210721598</v>
      </c>
      <c r="D429" s="80" t="s">
        <v>2349</v>
      </c>
      <c r="E429" s="80" t="b">
        <v>0</v>
      </c>
      <c r="F429" s="80" t="b">
        <v>0</v>
      </c>
      <c r="G429" s="80" t="b">
        <v>0</v>
      </c>
    </row>
    <row r="430" spans="1:7" ht="15">
      <c r="A430" s="81" t="s">
        <v>2731</v>
      </c>
      <c r="B430" s="80">
        <v>2</v>
      </c>
      <c r="C430" s="109">
        <v>0.0035722210721598</v>
      </c>
      <c r="D430" s="80" t="s">
        <v>2349</v>
      </c>
      <c r="E430" s="80" t="b">
        <v>0</v>
      </c>
      <c r="F430" s="80" t="b">
        <v>1</v>
      </c>
      <c r="G430" s="80" t="b">
        <v>0</v>
      </c>
    </row>
    <row r="431" spans="1:7" ht="15">
      <c r="A431" s="81" t="s">
        <v>2474</v>
      </c>
      <c r="B431" s="80">
        <v>2</v>
      </c>
      <c r="C431" s="109">
        <v>0.0035722210721598</v>
      </c>
      <c r="D431" s="80" t="s">
        <v>2349</v>
      </c>
      <c r="E431" s="80" t="b">
        <v>0</v>
      </c>
      <c r="F431" s="80" t="b">
        <v>0</v>
      </c>
      <c r="G431" s="80" t="b">
        <v>0</v>
      </c>
    </row>
    <row r="432" spans="1:7" ht="15">
      <c r="A432" s="81" t="s">
        <v>2505</v>
      </c>
      <c r="B432" s="80">
        <v>2</v>
      </c>
      <c r="C432" s="109">
        <v>0.004379271998872886</v>
      </c>
      <c r="D432" s="80" t="s">
        <v>2349</v>
      </c>
      <c r="E432" s="80" t="b">
        <v>0</v>
      </c>
      <c r="F432" s="80" t="b">
        <v>0</v>
      </c>
      <c r="G432" s="80" t="b">
        <v>0</v>
      </c>
    </row>
    <row r="433" spans="1:7" ht="15">
      <c r="A433" s="81" t="s">
        <v>2551</v>
      </c>
      <c r="B433" s="80">
        <v>2</v>
      </c>
      <c r="C433" s="109">
        <v>0.004379271998872886</v>
      </c>
      <c r="D433" s="80" t="s">
        <v>2349</v>
      </c>
      <c r="E433" s="80" t="b">
        <v>0</v>
      </c>
      <c r="F433" s="80" t="b">
        <v>0</v>
      </c>
      <c r="G433" s="80" t="b">
        <v>0</v>
      </c>
    </row>
    <row r="434" spans="1:7" ht="15">
      <c r="A434" s="81" t="s">
        <v>2635</v>
      </c>
      <c r="B434" s="80">
        <v>2</v>
      </c>
      <c r="C434" s="109">
        <v>0.0035722210721598</v>
      </c>
      <c r="D434" s="80" t="s">
        <v>2349</v>
      </c>
      <c r="E434" s="80" t="b">
        <v>0</v>
      </c>
      <c r="F434" s="80" t="b">
        <v>0</v>
      </c>
      <c r="G434" s="80" t="b">
        <v>0</v>
      </c>
    </row>
    <row r="435" spans="1:7" ht="15">
      <c r="A435" s="81" t="s">
        <v>2757</v>
      </c>
      <c r="B435" s="80">
        <v>2</v>
      </c>
      <c r="C435" s="109">
        <v>0.004379271998872886</v>
      </c>
      <c r="D435" s="80" t="s">
        <v>2349</v>
      </c>
      <c r="E435" s="80" t="b">
        <v>0</v>
      </c>
      <c r="F435" s="80" t="b">
        <v>0</v>
      </c>
      <c r="G435" s="80" t="b">
        <v>0</v>
      </c>
    </row>
    <row r="436" spans="1:7" ht="15">
      <c r="A436" s="81" t="s">
        <v>2594</v>
      </c>
      <c r="B436" s="80">
        <v>2</v>
      </c>
      <c r="C436" s="109">
        <v>0.0035722210721598</v>
      </c>
      <c r="D436" s="80" t="s">
        <v>2349</v>
      </c>
      <c r="E436" s="80" t="b">
        <v>0</v>
      </c>
      <c r="F436" s="80" t="b">
        <v>0</v>
      </c>
      <c r="G436" s="80" t="b">
        <v>0</v>
      </c>
    </row>
    <row r="437" spans="1:7" ht="15">
      <c r="A437" s="81" t="s">
        <v>2540</v>
      </c>
      <c r="B437" s="80">
        <v>2</v>
      </c>
      <c r="C437" s="109">
        <v>0.004379271998872886</v>
      </c>
      <c r="D437" s="80" t="s">
        <v>2349</v>
      </c>
      <c r="E437" s="80" t="b">
        <v>1</v>
      </c>
      <c r="F437" s="80" t="b">
        <v>0</v>
      </c>
      <c r="G437" s="80" t="b">
        <v>0</v>
      </c>
    </row>
    <row r="438" spans="1:7" ht="15">
      <c r="A438" s="81" t="s">
        <v>2779</v>
      </c>
      <c r="B438" s="80">
        <v>2</v>
      </c>
      <c r="C438" s="109">
        <v>0.0035722210721598</v>
      </c>
      <c r="D438" s="80" t="s">
        <v>2349</v>
      </c>
      <c r="E438" s="80" t="b">
        <v>0</v>
      </c>
      <c r="F438" s="80" t="b">
        <v>0</v>
      </c>
      <c r="G438" s="80" t="b">
        <v>0</v>
      </c>
    </row>
    <row r="439" spans="1:7" ht="15">
      <c r="A439" s="81" t="s">
        <v>2650</v>
      </c>
      <c r="B439" s="80">
        <v>2</v>
      </c>
      <c r="C439" s="109">
        <v>0.004379271998872886</v>
      </c>
      <c r="D439" s="80" t="s">
        <v>2349</v>
      </c>
      <c r="E439" s="80" t="b">
        <v>0</v>
      </c>
      <c r="F439" s="80" t="b">
        <v>0</v>
      </c>
      <c r="G439" s="80" t="b">
        <v>0</v>
      </c>
    </row>
    <row r="440" spans="1:7" ht="15">
      <c r="A440" s="81" t="s">
        <v>2633</v>
      </c>
      <c r="B440" s="80">
        <v>2</v>
      </c>
      <c r="C440" s="109">
        <v>0.0035722210721598</v>
      </c>
      <c r="D440" s="80" t="s">
        <v>2349</v>
      </c>
      <c r="E440" s="80" t="b">
        <v>0</v>
      </c>
      <c r="F440" s="80" t="b">
        <v>0</v>
      </c>
      <c r="G440" s="80" t="b">
        <v>0</v>
      </c>
    </row>
    <row r="441" spans="1:7" ht="15">
      <c r="A441" s="81" t="s">
        <v>2515</v>
      </c>
      <c r="B441" s="80">
        <v>2</v>
      </c>
      <c r="C441" s="109">
        <v>0.0035722210721598</v>
      </c>
      <c r="D441" s="80" t="s">
        <v>2349</v>
      </c>
      <c r="E441" s="80" t="b">
        <v>0</v>
      </c>
      <c r="F441" s="80" t="b">
        <v>0</v>
      </c>
      <c r="G441" s="80" t="b">
        <v>0</v>
      </c>
    </row>
    <row r="442" spans="1:7" ht="15">
      <c r="A442" s="81" t="s">
        <v>2480</v>
      </c>
      <c r="B442" s="80">
        <v>2</v>
      </c>
      <c r="C442" s="109">
        <v>0.0035722210721598</v>
      </c>
      <c r="D442" s="80" t="s">
        <v>2349</v>
      </c>
      <c r="E442" s="80" t="b">
        <v>0</v>
      </c>
      <c r="F442" s="80" t="b">
        <v>0</v>
      </c>
      <c r="G442" s="80" t="b">
        <v>0</v>
      </c>
    </row>
    <row r="443" spans="1:7" ht="15">
      <c r="A443" s="81" t="s">
        <v>2486</v>
      </c>
      <c r="B443" s="80">
        <v>2</v>
      </c>
      <c r="C443" s="109">
        <v>0.0035722210721598</v>
      </c>
      <c r="D443" s="80" t="s">
        <v>2349</v>
      </c>
      <c r="E443" s="80" t="b">
        <v>0</v>
      </c>
      <c r="F443" s="80" t="b">
        <v>0</v>
      </c>
      <c r="G443" s="80" t="b">
        <v>0</v>
      </c>
    </row>
    <row r="444" spans="1:7" ht="15">
      <c r="A444" s="81" t="s">
        <v>2503</v>
      </c>
      <c r="B444" s="80">
        <v>2</v>
      </c>
      <c r="C444" s="109">
        <v>0.0035722210721598</v>
      </c>
      <c r="D444" s="80" t="s">
        <v>2349</v>
      </c>
      <c r="E444" s="80" t="b">
        <v>0</v>
      </c>
      <c r="F444" s="80" t="b">
        <v>0</v>
      </c>
      <c r="G444" s="80" t="b">
        <v>0</v>
      </c>
    </row>
    <row r="445" spans="1:7" ht="15">
      <c r="A445" s="81" t="s">
        <v>2576</v>
      </c>
      <c r="B445" s="80">
        <v>2</v>
      </c>
      <c r="C445" s="109">
        <v>0.0035722210721598</v>
      </c>
      <c r="D445" s="80" t="s">
        <v>2349</v>
      </c>
      <c r="E445" s="80" t="b">
        <v>0</v>
      </c>
      <c r="F445" s="80" t="b">
        <v>0</v>
      </c>
      <c r="G445" s="80" t="b">
        <v>0</v>
      </c>
    </row>
    <row r="446" spans="1:7" ht="15">
      <c r="A446" s="81" t="s">
        <v>2455</v>
      </c>
      <c r="B446" s="80">
        <v>2</v>
      </c>
      <c r="C446" s="109">
        <v>0.0035722210721598</v>
      </c>
      <c r="D446" s="80" t="s">
        <v>2349</v>
      </c>
      <c r="E446" s="80" t="b">
        <v>1</v>
      </c>
      <c r="F446" s="80" t="b">
        <v>0</v>
      </c>
      <c r="G446" s="80" t="b">
        <v>0</v>
      </c>
    </row>
    <row r="447" spans="1:7" ht="15">
      <c r="A447" s="81" t="s">
        <v>2522</v>
      </c>
      <c r="B447" s="80">
        <v>2</v>
      </c>
      <c r="C447" s="109">
        <v>0.0035722210721598</v>
      </c>
      <c r="D447" s="80" t="s">
        <v>2349</v>
      </c>
      <c r="E447" s="80" t="b">
        <v>1</v>
      </c>
      <c r="F447" s="80" t="b">
        <v>0</v>
      </c>
      <c r="G447" s="80" t="b">
        <v>0</v>
      </c>
    </row>
    <row r="448" spans="1:7" ht="15">
      <c r="A448" s="81" t="s">
        <v>2581</v>
      </c>
      <c r="B448" s="80">
        <v>2</v>
      </c>
      <c r="C448" s="109">
        <v>0.0035722210721598</v>
      </c>
      <c r="D448" s="80" t="s">
        <v>2349</v>
      </c>
      <c r="E448" s="80" t="b">
        <v>0</v>
      </c>
      <c r="F448" s="80" t="b">
        <v>0</v>
      </c>
      <c r="G448" s="80" t="b">
        <v>0</v>
      </c>
    </row>
    <row r="449" spans="1:7" ht="15">
      <c r="A449" s="81" t="s">
        <v>2733</v>
      </c>
      <c r="B449" s="80">
        <v>2</v>
      </c>
      <c r="C449" s="109">
        <v>0.004379271998872886</v>
      </c>
      <c r="D449" s="80" t="s">
        <v>2349</v>
      </c>
      <c r="E449" s="80" t="b">
        <v>0</v>
      </c>
      <c r="F449" s="80" t="b">
        <v>0</v>
      </c>
      <c r="G449" s="80" t="b">
        <v>0</v>
      </c>
    </row>
    <row r="450" spans="1:7" ht="15">
      <c r="A450" s="81" t="s">
        <v>2476</v>
      </c>
      <c r="B450" s="80">
        <v>2</v>
      </c>
      <c r="C450" s="109">
        <v>0.0035722210721598</v>
      </c>
      <c r="D450" s="80" t="s">
        <v>2349</v>
      </c>
      <c r="E450" s="80" t="b">
        <v>0</v>
      </c>
      <c r="F450" s="80" t="b">
        <v>0</v>
      </c>
      <c r="G450" s="80" t="b">
        <v>0</v>
      </c>
    </row>
    <row r="451" spans="1:7" ht="15">
      <c r="A451" s="81" t="s">
        <v>2557</v>
      </c>
      <c r="B451" s="80">
        <v>2</v>
      </c>
      <c r="C451" s="109">
        <v>0.0035722210721598</v>
      </c>
      <c r="D451" s="80" t="s">
        <v>2349</v>
      </c>
      <c r="E451" s="80" t="b">
        <v>0</v>
      </c>
      <c r="F451" s="80" t="b">
        <v>0</v>
      </c>
      <c r="G451" s="80" t="b">
        <v>0</v>
      </c>
    </row>
    <row r="452" spans="1:7" ht="15">
      <c r="A452" s="81" t="s">
        <v>2624</v>
      </c>
      <c r="B452" s="80">
        <v>2</v>
      </c>
      <c r="C452" s="109">
        <v>0.0035722210721598</v>
      </c>
      <c r="D452" s="80" t="s">
        <v>2349</v>
      </c>
      <c r="E452" s="80" t="b">
        <v>0</v>
      </c>
      <c r="F452" s="80" t="b">
        <v>0</v>
      </c>
      <c r="G452" s="80" t="b">
        <v>0</v>
      </c>
    </row>
    <row r="453" spans="1:7" ht="15">
      <c r="A453" s="81" t="s">
        <v>2487</v>
      </c>
      <c r="B453" s="80">
        <v>2</v>
      </c>
      <c r="C453" s="109">
        <v>0.0035722210721598</v>
      </c>
      <c r="D453" s="80" t="s">
        <v>2349</v>
      </c>
      <c r="E453" s="80" t="b">
        <v>0</v>
      </c>
      <c r="F453" s="80" t="b">
        <v>0</v>
      </c>
      <c r="G453" s="80" t="b">
        <v>0</v>
      </c>
    </row>
    <row r="454" spans="1:7" ht="15">
      <c r="A454" s="81" t="s">
        <v>2784</v>
      </c>
      <c r="B454" s="80">
        <v>2</v>
      </c>
      <c r="C454" s="109">
        <v>0.0035722210721598</v>
      </c>
      <c r="D454" s="80" t="s">
        <v>2349</v>
      </c>
      <c r="E454" s="80" t="b">
        <v>0</v>
      </c>
      <c r="F454" s="80" t="b">
        <v>0</v>
      </c>
      <c r="G454" s="80" t="b">
        <v>0</v>
      </c>
    </row>
    <row r="455" spans="1:7" ht="15">
      <c r="A455" s="81" t="s">
        <v>2495</v>
      </c>
      <c r="B455" s="80">
        <v>2</v>
      </c>
      <c r="C455" s="109">
        <v>0.0035722210721598</v>
      </c>
      <c r="D455" s="80" t="s">
        <v>2349</v>
      </c>
      <c r="E455" s="80" t="b">
        <v>0</v>
      </c>
      <c r="F455" s="80" t="b">
        <v>0</v>
      </c>
      <c r="G455" s="80" t="b">
        <v>0</v>
      </c>
    </row>
    <row r="456" spans="1:7" ht="15">
      <c r="A456" s="81" t="s">
        <v>2634</v>
      </c>
      <c r="B456" s="80">
        <v>2</v>
      </c>
      <c r="C456" s="109">
        <v>0.0035722210721598</v>
      </c>
      <c r="D456" s="80" t="s">
        <v>2349</v>
      </c>
      <c r="E456" s="80" t="b">
        <v>0</v>
      </c>
      <c r="F456" s="80" t="b">
        <v>0</v>
      </c>
      <c r="G456" s="80" t="b">
        <v>0</v>
      </c>
    </row>
    <row r="457" spans="1:7" ht="15">
      <c r="A457" s="81" t="s">
        <v>2738</v>
      </c>
      <c r="B457" s="80">
        <v>2</v>
      </c>
      <c r="C457" s="109">
        <v>0.004379271998872886</v>
      </c>
      <c r="D457" s="80" t="s">
        <v>2349</v>
      </c>
      <c r="E457" s="80" t="b">
        <v>0</v>
      </c>
      <c r="F457" s="80" t="b">
        <v>0</v>
      </c>
      <c r="G457" s="80" t="b">
        <v>0</v>
      </c>
    </row>
    <row r="458" spans="1:7" ht="15">
      <c r="A458" s="81" t="s">
        <v>2599</v>
      </c>
      <c r="B458" s="80">
        <v>2</v>
      </c>
      <c r="C458" s="109">
        <v>0.0035722210721598</v>
      </c>
      <c r="D458" s="80" t="s">
        <v>2349</v>
      </c>
      <c r="E458" s="80" t="b">
        <v>0</v>
      </c>
      <c r="F458" s="80" t="b">
        <v>1</v>
      </c>
      <c r="G458" s="80" t="b">
        <v>0</v>
      </c>
    </row>
    <row r="459" spans="1:7" ht="15">
      <c r="A459" s="81" t="s">
        <v>2657</v>
      </c>
      <c r="B459" s="80">
        <v>2</v>
      </c>
      <c r="C459" s="109">
        <v>0.0035722210721598</v>
      </c>
      <c r="D459" s="80" t="s">
        <v>2349</v>
      </c>
      <c r="E459" s="80" t="b">
        <v>0</v>
      </c>
      <c r="F459" s="80" t="b">
        <v>0</v>
      </c>
      <c r="G459" s="80" t="b">
        <v>0</v>
      </c>
    </row>
    <row r="460" spans="1:7" ht="15">
      <c r="A460" s="81" t="s">
        <v>2477</v>
      </c>
      <c r="B460" s="80">
        <v>2</v>
      </c>
      <c r="C460" s="109">
        <v>0.0035722210721598</v>
      </c>
      <c r="D460" s="80" t="s">
        <v>2349</v>
      </c>
      <c r="E460" s="80" t="b">
        <v>1</v>
      </c>
      <c r="F460" s="80" t="b">
        <v>0</v>
      </c>
      <c r="G460" s="80" t="b">
        <v>0</v>
      </c>
    </row>
    <row r="461" spans="1:7" ht="15">
      <c r="A461" s="81" t="s">
        <v>2687</v>
      </c>
      <c r="B461" s="80">
        <v>2</v>
      </c>
      <c r="C461" s="109">
        <v>0.0035722210721598</v>
      </c>
      <c r="D461" s="80" t="s">
        <v>2349</v>
      </c>
      <c r="E461" s="80" t="b">
        <v>0</v>
      </c>
      <c r="F461" s="80" t="b">
        <v>0</v>
      </c>
      <c r="G461" s="80" t="b">
        <v>0</v>
      </c>
    </row>
    <row r="462" spans="1:7" ht="15">
      <c r="A462" s="81" t="s">
        <v>2564</v>
      </c>
      <c r="B462" s="80">
        <v>2</v>
      </c>
      <c r="C462" s="109">
        <v>0.0035722210721598</v>
      </c>
      <c r="D462" s="80" t="s">
        <v>2349</v>
      </c>
      <c r="E462" s="80" t="b">
        <v>0</v>
      </c>
      <c r="F462" s="80" t="b">
        <v>0</v>
      </c>
      <c r="G462" s="80" t="b">
        <v>0</v>
      </c>
    </row>
    <row r="463" spans="1:7" ht="15">
      <c r="A463" s="81" t="s">
        <v>2647</v>
      </c>
      <c r="B463" s="80">
        <v>2</v>
      </c>
      <c r="C463" s="109">
        <v>0.0035722210721598</v>
      </c>
      <c r="D463" s="80" t="s">
        <v>2349</v>
      </c>
      <c r="E463" s="80" t="b">
        <v>0</v>
      </c>
      <c r="F463" s="80" t="b">
        <v>0</v>
      </c>
      <c r="G463" s="80" t="b">
        <v>0</v>
      </c>
    </row>
    <row r="464" spans="1:7" ht="15">
      <c r="A464" s="81" t="s">
        <v>2661</v>
      </c>
      <c r="B464" s="80">
        <v>2</v>
      </c>
      <c r="C464" s="109">
        <v>0.0035722210721598</v>
      </c>
      <c r="D464" s="80" t="s">
        <v>2349</v>
      </c>
      <c r="E464" s="80" t="b">
        <v>0</v>
      </c>
      <c r="F464" s="80" t="b">
        <v>0</v>
      </c>
      <c r="G464" s="80" t="b">
        <v>0</v>
      </c>
    </row>
    <row r="465" spans="1:7" ht="15">
      <c r="A465" s="81" t="s">
        <v>2471</v>
      </c>
      <c r="B465" s="80">
        <v>2</v>
      </c>
      <c r="C465" s="109">
        <v>0.0035722210721598</v>
      </c>
      <c r="D465" s="80" t="s">
        <v>2349</v>
      </c>
      <c r="E465" s="80" t="b">
        <v>0</v>
      </c>
      <c r="F465" s="80" t="b">
        <v>0</v>
      </c>
      <c r="G465" s="80" t="b">
        <v>0</v>
      </c>
    </row>
    <row r="466" spans="1:7" ht="15">
      <c r="A466" s="81" t="s">
        <v>2617</v>
      </c>
      <c r="B466" s="80">
        <v>2</v>
      </c>
      <c r="C466" s="109">
        <v>0.004379271998872886</v>
      </c>
      <c r="D466" s="80" t="s">
        <v>2349</v>
      </c>
      <c r="E466" s="80" t="b">
        <v>0</v>
      </c>
      <c r="F466" s="80" t="b">
        <v>1</v>
      </c>
      <c r="G466" s="80" t="b">
        <v>0</v>
      </c>
    </row>
    <row r="467" spans="1:7" ht="15">
      <c r="A467" s="81" t="s">
        <v>2714</v>
      </c>
      <c r="B467" s="80">
        <v>2</v>
      </c>
      <c r="C467" s="109">
        <v>0.0035722210721598</v>
      </c>
      <c r="D467" s="80" t="s">
        <v>2349</v>
      </c>
      <c r="E467" s="80" t="b">
        <v>0</v>
      </c>
      <c r="F467" s="80" t="b">
        <v>0</v>
      </c>
      <c r="G467" s="80" t="b">
        <v>0</v>
      </c>
    </row>
    <row r="468" spans="1:7" ht="15">
      <c r="A468" s="81" t="s">
        <v>2735</v>
      </c>
      <c r="B468" s="80">
        <v>2</v>
      </c>
      <c r="C468" s="109">
        <v>0.0035722210721598</v>
      </c>
      <c r="D468" s="80" t="s">
        <v>2349</v>
      </c>
      <c r="E468" s="80" t="b">
        <v>0</v>
      </c>
      <c r="F468" s="80" t="b">
        <v>0</v>
      </c>
      <c r="G468" s="80" t="b">
        <v>0</v>
      </c>
    </row>
    <row r="469" spans="1:7" ht="15">
      <c r="A469" s="81" t="s">
        <v>2778</v>
      </c>
      <c r="B469" s="80">
        <v>2</v>
      </c>
      <c r="C469" s="109">
        <v>0.0035722210721598</v>
      </c>
      <c r="D469" s="80" t="s">
        <v>2349</v>
      </c>
      <c r="E469" s="80" t="b">
        <v>0</v>
      </c>
      <c r="F469" s="80" t="b">
        <v>0</v>
      </c>
      <c r="G469" s="80" t="b">
        <v>0</v>
      </c>
    </row>
    <row r="470" spans="1:7" ht="15">
      <c r="A470" s="81" t="s">
        <v>2678</v>
      </c>
      <c r="B470" s="80">
        <v>2</v>
      </c>
      <c r="C470" s="109">
        <v>0.0035722210721598</v>
      </c>
      <c r="D470" s="80" t="s">
        <v>2349</v>
      </c>
      <c r="E470" s="80" t="b">
        <v>0</v>
      </c>
      <c r="F470" s="80" t="b">
        <v>0</v>
      </c>
      <c r="G470" s="80" t="b">
        <v>0</v>
      </c>
    </row>
    <row r="471" spans="1:7" ht="15">
      <c r="A471" s="81" t="s">
        <v>2734</v>
      </c>
      <c r="B471" s="80">
        <v>2</v>
      </c>
      <c r="C471" s="109">
        <v>0.0035722210721598</v>
      </c>
      <c r="D471" s="80" t="s">
        <v>2349</v>
      </c>
      <c r="E471" s="80" t="b">
        <v>0</v>
      </c>
      <c r="F471" s="80" t="b">
        <v>0</v>
      </c>
      <c r="G471" s="80" t="b">
        <v>0</v>
      </c>
    </row>
    <row r="472" spans="1:7" ht="15">
      <c r="A472" s="81" t="s">
        <v>2612</v>
      </c>
      <c r="B472" s="80">
        <v>2</v>
      </c>
      <c r="C472" s="109">
        <v>0.0035722210721598</v>
      </c>
      <c r="D472" s="80" t="s">
        <v>2349</v>
      </c>
      <c r="E472" s="80" t="b">
        <v>0</v>
      </c>
      <c r="F472" s="80" t="b">
        <v>0</v>
      </c>
      <c r="G472" s="80" t="b">
        <v>0</v>
      </c>
    </row>
    <row r="473" spans="1:7" ht="15">
      <c r="A473" s="81" t="s">
        <v>2586</v>
      </c>
      <c r="B473" s="80">
        <v>2</v>
      </c>
      <c r="C473" s="109">
        <v>0.0035722210721598</v>
      </c>
      <c r="D473" s="80" t="s">
        <v>2349</v>
      </c>
      <c r="E473" s="80" t="b">
        <v>0</v>
      </c>
      <c r="F473" s="80" t="b">
        <v>0</v>
      </c>
      <c r="G473" s="80" t="b">
        <v>0</v>
      </c>
    </row>
    <row r="474" spans="1:7" ht="15">
      <c r="A474" s="81" t="s">
        <v>2510</v>
      </c>
      <c r="B474" s="80">
        <v>2</v>
      </c>
      <c r="C474" s="109">
        <v>0.0035722210721598</v>
      </c>
      <c r="D474" s="80" t="s">
        <v>2349</v>
      </c>
      <c r="E474" s="80" t="b">
        <v>0</v>
      </c>
      <c r="F474" s="80" t="b">
        <v>0</v>
      </c>
      <c r="G474" s="80" t="b">
        <v>0</v>
      </c>
    </row>
    <row r="475" spans="1:7" ht="15">
      <c r="A475" s="81" t="s">
        <v>2449</v>
      </c>
      <c r="B475" s="80">
        <v>2</v>
      </c>
      <c r="C475" s="109">
        <v>0.0035722210721598</v>
      </c>
      <c r="D475" s="80" t="s">
        <v>2349</v>
      </c>
      <c r="E475" s="80" t="b">
        <v>0</v>
      </c>
      <c r="F475" s="80" t="b">
        <v>0</v>
      </c>
      <c r="G475" s="80" t="b">
        <v>0</v>
      </c>
    </row>
    <row r="476" spans="1:7" ht="15">
      <c r="A476" s="81" t="s">
        <v>2548</v>
      </c>
      <c r="B476" s="80">
        <v>2</v>
      </c>
      <c r="C476" s="109">
        <v>0.0035722210721598</v>
      </c>
      <c r="D476" s="80" t="s">
        <v>2349</v>
      </c>
      <c r="E476" s="80" t="b">
        <v>0</v>
      </c>
      <c r="F476" s="80" t="b">
        <v>0</v>
      </c>
      <c r="G476" s="80" t="b">
        <v>0</v>
      </c>
    </row>
    <row r="477" spans="1:7" ht="15">
      <c r="A477" s="81" t="s">
        <v>2703</v>
      </c>
      <c r="B477" s="80">
        <v>2</v>
      </c>
      <c r="C477" s="109">
        <v>0.0035722210721598</v>
      </c>
      <c r="D477" s="80" t="s">
        <v>2349</v>
      </c>
      <c r="E477" s="80" t="b">
        <v>0</v>
      </c>
      <c r="F477" s="80" t="b">
        <v>0</v>
      </c>
      <c r="G477" s="80" t="b">
        <v>0</v>
      </c>
    </row>
    <row r="478" spans="1:7" ht="15">
      <c r="A478" s="81" t="s">
        <v>2637</v>
      </c>
      <c r="B478" s="80">
        <v>2</v>
      </c>
      <c r="C478" s="109">
        <v>0.0035722210721598</v>
      </c>
      <c r="D478" s="80" t="s">
        <v>2349</v>
      </c>
      <c r="E478" s="80" t="b">
        <v>0</v>
      </c>
      <c r="F478" s="80" t="b">
        <v>1</v>
      </c>
      <c r="G478" s="80" t="b">
        <v>0</v>
      </c>
    </row>
    <row r="479" spans="1:7" ht="15">
      <c r="A479" s="81" t="s">
        <v>2453</v>
      </c>
      <c r="B479" s="80">
        <v>2</v>
      </c>
      <c r="C479" s="109">
        <v>0.0035722210721598</v>
      </c>
      <c r="D479" s="80" t="s">
        <v>2349</v>
      </c>
      <c r="E479" s="80" t="b">
        <v>0</v>
      </c>
      <c r="F479" s="80" t="b">
        <v>0</v>
      </c>
      <c r="G479" s="80" t="b">
        <v>0</v>
      </c>
    </row>
    <row r="480" spans="1:7" ht="15">
      <c r="A480" s="81" t="s">
        <v>2438</v>
      </c>
      <c r="B480" s="80">
        <v>11</v>
      </c>
      <c r="C480" s="109">
        <v>0</v>
      </c>
      <c r="D480" s="80" t="s">
        <v>2350</v>
      </c>
      <c r="E480" s="80" t="b">
        <v>0</v>
      </c>
      <c r="F480" s="80" t="b">
        <v>1</v>
      </c>
      <c r="G480" s="80" t="b">
        <v>0</v>
      </c>
    </row>
    <row r="481" spans="1:7" ht="15">
      <c r="A481" s="81" t="s">
        <v>350</v>
      </c>
      <c r="B481" s="80">
        <v>5</v>
      </c>
      <c r="C481" s="109">
        <v>0.009839732207534663</v>
      </c>
      <c r="D481" s="80" t="s">
        <v>2350</v>
      </c>
      <c r="E481" s="80" t="b">
        <v>0</v>
      </c>
      <c r="F481" s="80" t="b">
        <v>0</v>
      </c>
      <c r="G481" s="80" t="b">
        <v>0</v>
      </c>
    </row>
    <row r="482" spans="1:7" ht="15">
      <c r="A482" s="81" t="s">
        <v>2489</v>
      </c>
      <c r="B482" s="80">
        <v>5</v>
      </c>
      <c r="C482" s="109">
        <v>0.012624502696271914</v>
      </c>
      <c r="D482" s="80" t="s">
        <v>2350</v>
      </c>
      <c r="E482" s="80" t="b">
        <v>0</v>
      </c>
      <c r="F482" s="80" t="b">
        <v>0</v>
      </c>
      <c r="G482" s="80" t="b">
        <v>0</v>
      </c>
    </row>
    <row r="483" spans="1:7" ht="15">
      <c r="A483" s="81" t="s">
        <v>2440</v>
      </c>
      <c r="B483" s="80">
        <v>3</v>
      </c>
      <c r="C483" s="109">
        <v>0.009728817766182113</v>
      </c>
      <c r="D483" s="80" t="s">
        <v>2350</v>
      </c>
      <c r="E483" s="80" t="b">
        <v>0</v>
      </c>
      <c r="F483" s="80" t="b">
        <v>0</v>
      </c>
      <c r="G483" s="80" t="b">
        <v>0</v>
      </c>
    </row>
    <row r="484" spans="1:7" ht="15">
      <c r="A484" s="81" t="s">
        <v>2525</v>
      </c>
      <c r="B484" s="80">
        <v>3</v>
      </c>
      <c r="C484" s="109">
        <v>0.012764873956797308</v>
      </c>
      <c r="D484" s="80" t="s">
        <v>2350</v>
      </c>
      <c r="E484" s="80" t="b">
        <v>0</v>
      </c>
      <c r="F484" s="80" t="b">
        <v>0</v>
      </c>
      <c r="G484" s="80" t="b">
        <v>0</v>
      </c>
    </row>
    <row r="485" spans="1:7" ht="15">
      <c r="A485" s="81" t="s">
        <v>2566</v>
      </c>
      <c r="B485" s="80">
        <v>3</v>
      </c>
      <c r="C485" s="109">
        <v>0.009728817766182113</v>
      </c>
      <c r="D485" s="80" t="s">
        <v>2350</v>
      </c>
      <c r="E485" s="80" t="b">
        <v>0</v>
      </c>
      <c r="F485" s="80" t="b">
        <v>0</v>
      </c>
      <c r="G485" s="80" t="b">
        <v>0</v>
      </c>
    </row>
    <row r="486" spans="1:7" ht="15">
      <c r="A486" s="81" t="s">
        <v>2499</v>
      </c>
      <c r="B486" s="80">
        <v>2</v>
      </c>
      <c r="C486" s="109">
        <v>0.008509915971198205</v>
      </c>
      <c r="D486" s="80" t="s">
        <v>2350</v>
      </c>
      <c r="E486" s="80" t="b">
        <v>0</v>
      </c>
      <c r="F486" s="80" t="b">
        <v>0</v>
      </c>
      <c r="G486" s="80" t="b">
        <v>0</v>
      </c>
    </row>
    <row r="487" spans="1:7" ht="15">
      <c r="A487" s="81" t="s">
        <v>2546</v>
      </c>
      <c r="B487" s="80">
        <v>2</v>
      </c>
      <c r="C487" s="109">
        <v>0.008509915971198205</v>
      </c>
      <c r="D487" s="80" t="s">
        <v>2350</v>
      </c>
      <c r="E487" s="80" t="b">
        <v>1</v>
      </c>
      <c r="F487" s="80" t="b">
        <v>0</v>
      </c>
      <c r="G487" s="80" t="b">
        <v>0</v>
      </c>
    </row>
    <row r="488" spans="1:7" ht="15">
      <c r="A488" s="81" t="s">
        <v>2580</v>
      </c>
      <c r="B488" s="80">
        <v>2</v>
      </c>
      <c r="C488" s="109">
        <v>0.008509915971198205</v>
      </c>
      <c r="D488" s="80" t="s">
        <v>2350</v>
      </c>
      <c r="E488" s="80" t="b">
        <v>0</v>
      </c>
      <c r="F488" s="80" t="b">
        <v>0</v>
      </c>
      <c r="G488" s="80" t="b">
        <v>0</v>
      </c>
    </row>
    <row r="489" spans="1:7" ht="15">
      <c r="A489" s="81" t="s">
        <v>2667</v>
      </c>
      <c r="B489" s="80">
        <v>2</v>
      </c>
      <c r="C489" s="109">
        <v>0.008509915971198205</v>
      </c>
      <c r="D489" s="80" t="s">
        <v>2350</v>
      </c>
      <c r="E489" s="80" t="b">
        <v>0</v>
      </c>
      <c r="F489" s="80" t="b">
        <v>0</v>
      </c>
      <c r="G489" s="80" t="b">
        <v>0</v>
      </c>
    </row>
    <row r="490" spans="1:7" ht="15">
      <c r="A490" s="81" t="s">
        <v>2792</v>
      </c>
      <c r="B490" s="80">
        <v>2</v>
      </c>
      <c r="C490" s="109">
        <v>0.008509915971198205</v>
      </c>
      <c r="D490" s="80" t="s">
        <v>2350</v>
      </c>
      <c r="E490" s="80" t="b">
        <v>0</v>
      </c>
      <c r="F490" s="80" t="b">
        <v>0</v>
      </c>
      <c r="G490" s="80" t="b">
        <v>0</v>
      </c>
    </row>
    <row r="491" spans="1:7" ht="15">
      <c r="A491" s="81" t="s">
        <v>416</v>
      </c>
      <c r="B491" s="80">
        <v>2</v>
      </c>
      <c r="C491" s="109">
        <v>0.008509915971198205</v>
      </c>
      <c r="D491" s="80" t="s">
        <v>2350</v>
      </c>
      <c r="E491" s="80" t="b">
        <v>0</v>
      </c>
      <c r="F491" s="80" t="b">
        <v>0</v>
      </c>
      <c r="G491" s="80" t="b">
        <v>0</v>
      </c>
    </row>
    <row r="492" spans="1:7" ht="15">
      <c r="A492" s="81" t="s">
        <v>298</v>
      </c>
      <c r="B492" s="80">
        <v>2</v>
      </c>
      <c r="C492" s="109">
        <v>0.008509915971198205</v>
      </c>
      <c r="D492" s="80" t="s">
        <v>2350</v>
      </c>
      <c r="E492" s="80" t="b">
        <v>0</v>
      </c>
      <c r="F492" s="80" t="b">
        <v>0</v>
      </c>
      <c r="G492" s="80" t="b">
        <v>0</v>
      </c>
    </row>
    <row r="493" spans="1:7" ht="15">
      <c r="A493" s="81" t="s">
        <v>2762</v>
      </c>
      <c r="B493" s="80">
        <v>2</v>
      </c>
      <c r="C493" s="109">
        <v>0.011970030863887645</v>
      </c>
      <c r="D493" s="80" t="s">
        <v>2350</v>
      </c>
      <c r="E493" s="80" t="b">
        <v>0</v>
      </c>
      <c r="F493" s="80" t="b">
        <v>0</v>
      </c>
      <c r="G493" s="80" t="b">
        <v>0</v>
      </c>
    </row>
    <row r="494" spans="1:7" ht="15">
      <c r="A494" s="81" t="s">
        <v>363</v>
      </c>
      <c r="B494" s="80">
        <v>2</v>
      </c>
      <c r="C494" s="109">
        <v>0.008509915971198205</v>
      </c>
      <c r="D494" s="80" t="s">
        <v>2350</v>
      </c>
      <c r="E494" s="80" t="b">
        <v>0</v>
      </c>
      <c r="F494" s="80" t="b">
        <v>0</v>
      </c>
      <c r="G494" s="80" t="b">
        <v>0</v>
      </c>
    </row>
    <row r="495" spans="1:7" ht="15">
      <c r="A495" s="81" t="s">
        <v>376</v>
      </c>
      <c r="B495" s="80">
        <v>2</v>
      </c>
      <c r="C495" s="109">
        <v>0.008509915971198205</v>
      </c>
      <c r="D495" s="80" t="s">
        <v>2350</v>
      </c>
      <c r="E495" s="80" t="b">
        <v>0</v>
      </c>
      <c r="F495" s="80" t="b">
        <v>0</v>
      </c>
      <c r="G495" s="80" t="b">
        <v>0</v>
      </c>
    </row>
    <row r="496" spans="1:7" ht="15">
      <c r="A496" s="81" t="s">
        <v>2448</v>
      </c>
      <c r="B496" s="80">
        <v>5</v>
      </c>
      <c r="C496" s="109">
        <v>0.009782847725315624</v>
      </c>
      <c r="D496" s="80" t="s">
        <v>2351</v>
      </c>
      <c r="E496" s="80" t="b">
        <v>0</v>
      </c>
      <c r="F496" s="80" t="b">
        <v>0</v>
      </c>
      <c r="G496" s="80" t="b">
        <v>0</v>
      </c>
    </row>
    <row r="497" spans="1:7" ht="15">
      <c r="A497" s="81" t="s">
        <v>2438</v>
      </c>
      <c r="B497" s="80">
        <v>5</v>
      </c>
      <c r="C497" s="109">
        <v>0.004398958113756934</v>
      </c>
      <c r="D497" s="80" t="s">
        <v>2351</v>
      </c>
      <c r="E497" s="80" t="b">
        <v>0</v>
      </c>
      <c r="F497" s="80" t="b">
        <v>1</v>
      </c>
      <c r="G497" s="80" t="b">
        <v>0</v>
      </c>
    </row>
    <row r="498" spans="1:7" ht="15">
      <c r="A498" s="81" t="s">
        <v>2538</v>
      </c>
      <c r="B498" s="80">
        <v>3</v>
      </c>
      <c r="C498" s="109">
        <v>0.015904041823988746</v>
      </c>
      <c r="D498" s="80" t="s">
        <v>2351</v>
      </c>
      <c r="E498" s="80" t="b">
        <v>0</v>
      </c>
      <c r="F498" s="80" t="b">
        <v>0</v>
      </c>
      <c r="G498" s="80" t="b">
        <v>0</v>
      </c>
    </row>
    <row r="499" spans="1:7" ht="15">
      <c r="A499" s="81" t="s">
        <v>2440</v>
      </c>
      <c r="B499" s="80">
        <v>2</v>
      </c>
      <c r="C499" s="109">
        <v>0.017292250008525415</v>
      </c>
      <c r="D499" s="80" t="s">
        <v>2351</v>
      </c>
      <c r="E499" s="80" t="b">
        <v>0</v>
      </c>
      <c r="F499" s="80" t="b">
        <v>0</v>
      </c>
      <c r="G499" s="80" t="b">
        <v>0</v>
      </c>
    </row>
    <row r="500" spans="1:7" ht="15">
      <c r="A500" s="81" t="s">
        <v>2524</v>
      </c>
      <c r="B500" s="80">
        <v>2</v>
      </c>
      <c r="C500" s="109">
        <v>0.010602694549325832</v>
      </c>
      <c r="D500" s="80" t="s">
        <v>2351</v>
      </c>
      <c r="E500" s="80" t="b">
        <v>0</v>
      </c>
      <c r="F500" s="80" t="b">
        <v>0</v>
      </c>
      <c r="G500" s="80" t="b">
        <v>0</v>
      </c>
    </row>
    <row r="501" spans="1:7" ht="15">
      <c r="A501" s="81" t="s">
        <v>2600</v>
      </c>
      <c r="B501" s="80">
        <v>2</v>
      </c>
      <c r="C501" s="109">
        <v>0.017292250008525415</v>
      </c>
      <c r="D501" s="80" t="s">
        <v>2351</v>
      </c>
      <c r="E501" s="80" t="b">
        <v>0</v>
      </c>
      <c r="F501" s="80" t="b">
        <v>0</v>
      </c>
      <c r="G501" s="80" t="b">
        <v>0</v>
      </c>
    </row>
    <row r="502" spans="1:7" ht="15">
      <c r="A502" s="81" t="s">
        <v>2609</v>
      </c>
      <c r="B502" s="80">
        <v>2</v>
      </c>
      <c r="C502" s="109">
        <v>0.010602694549325832</v>
      </c>
      <c r="D502" s="80" t="s">
        <v>2351</v>
      </c>
      <c r="E502" s="80" t="b">
        <v>0</v>
      </c>
      <c r="F502" s="80" t="b">
        <v>0</v>
      </c>
      <c r="G502" s="80" t="b">
        <v>0</v>
      </c>
    </row>
    <row r="503" spans="1:7" ht="15">
      <c r="A503" s="81" t="s">
        <v>420</v>
      </c>
      <c r="B503" s="80">
        <v>2</v>
      </c>
      <c r="C503" s="109">
        <v>0.017292250008525415</v>
      </c>
      <c r="D503" s="80" t="s">
        <v>2351</v>
      </c>
      <c r="E503" s="80" t="b">
        <v>0</v>
      </c>
      <c r="F503" s="80" t="b">
        <v>0</v>
      </c>
      <c r="G503" s="80" t="b">
        <v>0</v>
      </c>
    </row>
    <row r="504" spans="1:7" ht="15">
      <c r="A504" s="81" t="s">
        <v>2438</v>
      </c>
      <c r="B504" s="80">
        <v>3</v>
      </c>
      <c r="C504" s="109">
        <v>0</v>
      </c>
      <c r="D504" s="80" t="s">
        <v>2352</v>
      </c>
      <c r="E504" s="80" t="b">
        <v>0</v>
      </c>
      <c r="F504" s="80" t="b">
        <v>1</v>
      </c>
      <c r="G504" s="80" t="b">
        <v>0</v>
      </c>
    </row>
    <row r="505" spans="1:7" ht="15">
      <c r="A505" s="81" t="s">
        <v>2682</v>
      </c>
      <c r="B505" s="80">
        <v>2</v>
      </c>
      <c r="C505" s="109">
        <v>0.015391008216763305</v>
      </c>
      <c r="D505" s="80" t="s">
        <v>2352</v>
      </c>
      <c r="E505" s="80" t="b">
        <v>1</v>
      </c>
      <c r="F505" s="80" t="b">
        <v>0</v>
      </c>
      <c r="G505" s="80" t="b">
        <v>0</v>
      </c>
    </row>
    <row r="506" spans="1:7" ht="15">
      <c r="A506" s="81" t="s">
        <v>2490</v>
      </c>
      <c r="B506" s="80">
        <v>2</v>
      </c>
      <c r="C506" s="109">
        <v>0.0056803631953445555</v>
      </c>
      <c r="D506" s="80" t="s">
        <v>2352</v>
      </c>
      <c r="E506" s="80" t="b">
        <v>0</v>
      </c>
      <c r="F506" s="80" t="b">
        <v>0</v>
      </c>
      <c r="G506" s="80" t="b">
        <v>0</v>
      </c>
    </row>
    <row r="507" spans="1:7" ht="15">
      <c r="A507" s="81" t="s">
        <v>2713</v>
      </c>
      <c r="B507" s="80">
        <v>2</v>
      </c>
      <c r="C507" s="109">
        <v>0.015391008216763305</v>
      </c>
      <c r="D507" s="80" t="s">
        <v>2352</v>
      </c>
      <c r="E507" s="80" t="b">
        <v>0</v>
      </c>
      <c r="F507" s="80" t="b">
        <v>0</v>
      </c>
      <c r="G507" s="80" t="b">
        <v>0</v>
      </c>
    </row>
    <row r="508" spans="1:7" ht="15">
      <c r="A508" s="81" t="s">
        <v>2461</v>
      </c>
      <c r="B508" s="80">
        <v>2</v>
      </c>
      <c r="C508" s="109">
        <v>0.015391008216763305</v>
      </c>
      <c r="D508" s="80" t="s">
        <v>2352</v>
      </c>
      <c r="E508" s="80" t="b">
        <v>0</v>
      </c>
      <c r="F508" s="80" t="b">
        <v>0</v>
      </c>
      <c r="G508" s="80" t="b">
        <v>0</v>
      </c>
    </row>
    <row r="509" spans="1:7" ht="15">
      <c r="A509" s="81" t="s">
        <v>2501</v>
      </c>
      <c r="B509" s="80">
        <v>2</v>
      </c>
      <c r="C509" s="109">
        <v>0.0056803631953445555</v>
      </c>
      <c r="D509" s="80" t="s">
        <v>2352</v>
      </c>
      <c r="E509" s="80" t="b">
        <v>0</v>
      </c>
      <c r="F509" s="80" t="b">
        <v>0</v>
      </c>
      <c r="G509" s="80" t="b">
        <v>0</v>
      </c>
    </row>
    <row r="510" spans="1:7" ht="15">
      <c r="A510" s="81" t="s">
        <v>2604</v>
      </c>
      <c r="B510" s="80">
        <v>2</v>
      </c>
      <c r="C510" s="109">
        <v>0.015391008216763305</v>
      </c>
      <c r="D510" s="80" t="s">
        <v>2352</v>
      </c>
      <c r="E510" s="80" t="b">
        <v>0</v>
      </c>
      <c r="F510" s="80" t="b">
        <v>0</v>
      </c>
      <c r="G510" s="80" t="b">
        <v>0</v>
      </c>
    </row>
    <row r="511" spans="1:7" ht="15">
      <c r="A511" s="81" t="s">
        <v>2758</v>
      </c>
      <c r="B511" s="80">
        <v>2</v>
      </c>
      <c r="C511" s="109">
        <v>0.015391008216763305</v>
      </c>
      <c r="D511" s="80" t="s">
        <v>2352</v>
      </c>
      <c r="E511" s="80" t="b">
        <v>0</v>
      </c>
      <c r="F511" s="80" t="b">
        <v>0</v>
      </c>
      <c r="G511" s="80" t="b">
        <v>0</v>
      </c>
    </row>
    <row r="512" spans="1:7" ht="15">
      <c r="A512" s="81" t="s">
        <v>2760</v>
      </c>
      <c r="B512" s="80">
        <v>2</v>
      </c>
      <c r="C512" s="109">
        <v>0.0056803631953445555</v>
      </c>
      <c r="D512" s="80" t="s">
        <v>2352</v>
      </c>
      <c r="E512" s="80" t="b">
        <v>0</v>
      </c>
      <c r="F512" s="80" t="b">
        <v>0</v>
      </c>
      <c r="G512" s="80" t="b">
        <v>0</v>
      </c>
    </row>
    <row r="513" spans="1:7" ht="15">
      <c r="A513" s="81" t="s">
        <v>2440</v>
      </c>
      <c r="B513" s="80">
        <v>2</v>
      </c>
      <c r="C513" s="109">
        <v>0</v>
      </c>
      <c r="D513" s="80" t="s">
        <v>2354</v>
      </c>
      <c r="E513" s="80" t="b">
        <v>0</v>
      </c>
      <c r="F513" s="80" t="b">
        <v>0</v>
      </c>
      <c r="G513" s="80" t="b">
        <v>0</v>
      </c>
    </row>
    <row r="514" spans="1:7" ht="15">
      <c r="A514" s="81" t="s">
        <v>2776</v>
      </c>
      <c r="B514" s="80">
        <v>2</v>
      </c>
      <c r="C514" s="109">
        <v>0</v>
      </c>
      <c r="D514" s="80" t="s">
        <v>2355</v>
      </c>
      <c r="E514" s="80" t="b">
        <v>0</v>
      </c>
      <c r="F514" s="80" t="b">
        <v>0</v>
      </c>
      <c r="G514" s="80" t="b">
        <v>0</v>
      </c>
    </row>
    <row r="515" spans="1:7" ht="15">
      <c r="A515" s="81" t="s">
        <v>2621</v>
      </c>
      <c r="B515" s="80">
        <v>2</v>
      </c>
      <c r="C515" s="109">
        <v>0</v>
      </c>
      <c r="D515" s="80" t="s">
        <v>2355</v>
      </c>
      <c r="E515" s="80" t="b">
        <v>0</v>
      </c>
      <c r="F515" s="80" t="b">
        <v>0</v>
      </c>
      <c r="G515" s="80" t="b">
        <v>0</v>
      </c>
    </row>
    <row r="516" spans="1:7" ht="15">
      <c r="A516" s="81" t="s">
        <v>435</v>
      </c>
      <c r="B516" s="80">
        <v>2</v>
      </c>
      <c r="C516" s="109">
        <v>0</v>
      </c>
      <c r="D516" s="80" t="s">
        <v>2356</v>
      </c>
      <c r="E516" s="80" t="b">
        <v>0</v>
      </c>
      <c r="F516" s="80" t="b">
        <v>0</v>
      </c>
      <c r="G516" s="80" t="b">
        <v>0</v>
      </c>
    </row>
    <row r="517" spans="1:7" ht="15">
      <c r="A517" s="81" t="s">
        <v>2488</v>
      </c>
      <c r="B517" s="80">
        <v>2</v>
      </c>
      <c r="C517" s="109">
        <v>0</v>
      </c>
      <c r="D517" s="80" t="s">
        <v>2357</v>
      </c>
      <c r="E517" s="80" t="b">
        <v>0</v>
      </c>
      <c r="F517" s="80" t="b">
        <v>0</v>
      </c>
      <c r="G517" s="80" t="b">
        <v>0</v>
      </c>
    </row>
    <row r="518" spans="1:7" ht="15">
      <c r="A518" s="81" t="s">
        <v>2438</v>
      </c>
      <c r="B518" s="80">
        <v>3</v>
      </c>
      <c r="C518" s="109">
        <v>0.011484212547109646</v>
      </c>
      <c r="D518" s="80" t="s">
        <v>2359</v>
      </c>
      <c r="E518" s="80" t="b">
        <v>0</v>
      </c>
      <c r="F518" s="80" t="b">
        <v>1</v>
      </c>
      <c r="G518" s="80" t="b">
        <v>0</v>
      </c>
    </row>
    <row r="519" spans="1:7" ht="15">
      <c r="A519" s="81" t="s">
        <v>2450</v>
      </c>
      <c r="B519" s="80">
        <v>2</v>
      </c>
      <c r="C519" s="109">
        <v>0.007656141698073097</v>
      </c>
      <c r="D519" s="80" t="s">
        <v>2359</v>
      </c>
      <c r="E519" s="80" t="b">
        <v>0</v>
      </c>
      <c r="F519" s="80" t="b">
        <v>0</v>
      </c>
      <c r="G519" s="80" t="b">
        <v>0</v>
      </c>
    </row>
    <row r="520" spans="1:7" ht="15">
      <c r="A520" s="81" t="s">
        <v>2727</v>
      </c>
      <c r="B520" s="80">
        <v>2</v>
      </c>
      <c r="C520" s="109">
        <v>0.020744402379115758</v>
      </c>
      <c r="D520" s="80" t="s">
        <v>2359</v>
      </c>
      <c r="E520" s="80" t="b">
        <v>0</v>
      </c>
      <c r="F520" s="80" t="b">
        <v>0</v>
      </c>
      <c r="G520" s="80" t="b">
        <v>0</v>
      </c>
    </row>
    <row r="521" spans="1:7" ht="15">
      <c r="A521" s="81" t="s">
        <v>2570</v>
      </c>
      <c r="B521" s="80">
        <v>2</v>
      </c>
      <c r="C521" s="109">
        <v>0.020744402379115758</v>
      </c>
      <c r="D521" s="80" t="s">
        <v>2359</v>
      </c>
      <c r="E521" s="80" t="b">
        <v>0</v>
      </c>
      <c r="F521" s="80" t="b">
        <v>0</v>
      </c>
      <c r="G521" s="80" t="b">
        <v>0</v>
      </c>
    </row>
    <row r="522" spans="1:7" ht="15">
      <c r="A522" s="81" t="s">
        <v>2445</v>
      </c>
      <c r="B522" s="80">
        <v>3</v>
      </c>
      <c r="C522" s="109">
        <v>0</v>
      </c>
      <c r="D522" s="80" t="s">
        <v>2360</v>
      </c>
      <c r="E522" s="80" t="b">
        <v>0</v>
      </c>
      <c r="F522" s="80" t="b">
        <v>0</v>
      </c>
      <c r="G522" s="80" t="b">
        <v>0</v>
      </c>
    </row>
    <row r="523" spans="1:7" ht="15">
      <c r="A523" s="81" t="s">
        <v>2567</v>
      </c>
      <c r="B523" s="80">
        <v>2</v>
      </c>
      <c r="C523" s="109">
        <v>0.01308826068104266</v>
      </c>
      <c r="D523" s="80" t="s">
        <v>2360</v>
      </c>
      <c r="E523" s="80" t="b">
        <v>0</v>
      </c>
      <c r="F523" s="80" t="b">
        <v>0</v>
      </c>
      <c r="G523" s="80" t="b">
        <v>0</v>
      </c>
    </row>
    <row r="524" spans="1:7" ht="15">
      <c r="A524" s="81" t="s">
        <v>2666</v>
      </c>
      <c r="B524" s="80">
        <v>2</v>
      </c>
      <c r="C524" s="109">
        <v>0.019421290042837495</v>
      </c>
      <c r="D524" s="80" t="s">
        <v>2362</v>
      </c>
      <c r="E524" s="80" t="b">
        <v>0</v>
      </c>
      <c r="F524" s="80" t="b">
        <v>0</v>
      </c>
      <c r="G524" s="80" t="b">
        <v>0</v>
      </c>
    </row>
    <row r="525" spans="1:7" ht="15">
      <c r="A525" s="81" t="s">
        <v>2438</v>
      </c>
      <c r="B525" s="80">
        <v>2</v>
      </c>
      <c r="C525" s="109">
        <v>0</v>
      </c>
      <c r="D525" s="80" t="s">
        <v>2362</v>
      </c>
      <c r="E525" s="80" t="b">
        <v>0</v>
      </c>
      <c r="F525" s="80" t="b">
        <v>1</v>
      </c>
      <c r="G525" s="80" t="b">
        <v>0</v>
      </c>
    </row>
    <row r="526" spans="1:7" ht="15">
      <c r="A526" s="81" t="s">
        <v>2441</v>
      </c>
      <c r="B526" s="80">
        <v>2</v>
      </c>
      <c r="C526" s="109">
        <v>0</v>
      </c>
      <c r="D526" s="80" t="s">
        <v>2363</v>
      </c>
      <c r="E526" s="80" t="b">
        <v>0</v>
      </c>
      <c r="F526" s="80" t="b">
        <v>0</v>
      </c>
      <c r="G526" s="80" t="b">
        <v>0</v>
      </c>
    </row>
    <row r="527" spans="1:7" ht="15">
      <c r="A527" s="81" t="s">
        <v>2701</v>
      </c>
      <c r="B527" s="80">
        <v>2</v>
      </c>
      <c r="C527" s="109">
        <v>0</v>
      </c>
      <c r="D527" s="80" t="s">
        <v>2364</v>
      </c>
      <c r="E527" s="80" t="b">
        <v>0</v>
      </c>
      <c r="F527" s="80" t="b">
        <v>0</v>
      </c>
      <c r="G527" s="80" t="b">
        <v>0</v>
      </c>
    </row>
    <row r="528" spans="1:7" ht="15">
      <c r="A528" s="81" t="s">
        <v>2455</v>
      </c>
      <c r="B528" s="80">
        <v>2</v>
      </c>
      <c r="C528" s="109">
        <v>0</v>
      </c>
      <c r="D528" s="80" t="s">
        <v>2364</v>
      </c>
      <c r="E528" s="80" t="b">
        <v>1</v>
      </c>
      <c r="F528" s="80" t="b">
        <v>0</v>
      </c>
      <c r="G528" s="80" t="b">
        <v>0</v>
      </c>
    </row>
    <row r="529" spans="1:7" ht="15">
      <c r="A529" s="81" t="s">
        <v>2643</v>
      </c>
      <c r="B529" s="80">
        <v>2</v>
      </c>
      <c r="C529" s="109">
        <v>0</v>
      </c>
      <c r="D529" s="80" t="s">
        <v>2365</v>
      </c>
      <c r="E529" s="80" t="b">
        <v>0</v>
      </c>
      <c r="F529" s="80" t="b">
        <v>0</v>
      </c>
      <c r="G529" s="80" t="b">
        <v>0</v>
      </c>
    </row>
    <row r="530" spans="1:7" ht="15">
      <c r="A530" s="81" t="s">
        <v>2623</v>
      </c>
      <c r="B530" s="80">
        <v>2</v>
      </c>
      <c r="C530" s="109">
        <v>0</v>
      </c>
      <c r="D530" s="80" t="s">
        <v>2367</v>
      </c>
      <c r="E530" s="80" t="b">
        <v>0</v>
      </c>
      <c r="F530" s="80" t="b">
        <v>0</v>
      </c>
      <c r="G530" s="80" t="b">
        <v>0</v>
      </c>
    </row>
    <row r="531" spans="1:7" ht="15">
      <c r="A531" s="81" t="s">
        <v>2463</v>
      </c>
      <c r="B531" s="80">
        <v>3</v>
      </c>
      <c r="C531" s="109">
        <v>0</v>
      </c>
      <c r="D531" s="80" t="s">
        <v>2369</v>
      </c>
      <c r="E531" s="80" t="b">
        <v>0</v>
      </c>
      <c r="F531" s="80" t="b">
        <v>0</v>
      </c>
      <c r="G531" s="80" t="b">
        <v>0</v>
      </c>
    </row>
    <row r="532" spans="1:7" ht="15">
      <c r="A532" s="81" t="s">
        <v>2474</v>
      </c>
      <c r="B532" s="80">
        <v>2</v>
      </c>
      <c r="C532" s="109">
        <v>0</v>
      </c>
      <c r="D532" s="80" t="s">
        <v>2370</v>
      </c>
      <c r="E532" s="80" t="b">
        <v>0</v>
      </c>
      <c r="F532" s="80" t="b">
        <v>0</v>
      </c>
      <c r="G532" s="80" t="b">
        <v>0</v>
      </c>
    </row>
    <row r="533" spans="1:7" ht="15">
      <c r="A533" s="81" t="s">
        <v>2751</v>
      </c>
      <c r="B533" s="80">
        <v>2</v>
      </c>
      <c r="C533" s="109">
        <v>0</v>
      </c>
      <c r="D533" s="80" t="s">
        <v>2370</v>
      </c>
      <c r="E533" s="80" t="b">
        <v>0</v>
      </c>
      <c r="F533" s="80" t="b">
        <v>0</v>
      </c>
      <c r="G533" s="80" t="b">
        <v>0</v>
      </c>
    </row>
    <row r="534" spans="1:7" ht="15">
      <c r="A534" s="81" t="s">
        <v>2588</v>
      </c>
      <c r="B534" s="80">
        <v>3</v>
      </c>
      <c r="C534" s="109">
        <v>0.02511164498524539</v>
      </c>
      <c r="D534" s="80" t="s">
        <v>2372</v>
      </c>
      <c r="E534" s="80" t="b">
        <v>0</v>
      </c>
      <c r="F534" s="80" t="b">
        <v>0</v>
      </c>
      <c r="G534" s="80" t="b">
        <v>0</v>
      </c>
    </row>
    <row r="535" spans="1:7" ht="15">
      <c r="A535" s="81" t="s">
        <v>2483</v>
      </c>
      <c r="B535" s="80">
        <v>2</v>
      </c>
      <c r="C535" s="109">
        <v>0.006178640668620394</v>
      </c>
      <c r="D535" s="80" t="s">
        <v>2372</v>
      </c>
      <c r="E535" s="80" t="b">
        <v>0</v>
      </c>
      <c r="F535" s="80" t="b">
        <v>0</v>
      </c>
      <c r="G535" s="80" t="b">
        <v>0</v>
      </c>
    </row>
    <row r="536" spans="1:7" ht="15">
      <c r="A536" s="81" t="s">
        <v>2439</v>
      </c>
      <c r="B536" s="80">
        <v>2</v>
      </c>
      <c r="C536" s="109">
        <v>0.006178640668620394</v>
      </c>
      <c r="D536" s="80" t="s">
        <v>2372</v>
      </c>
      <c r="E536" s="80" t="b">
        <v>0</v>
      </c>
      <c r="F536" s="80" t="b">
        <v>1</v>
      </c>
      <c r="G536" s="80" t="b">
        <v>0</v>
      </c>
    </row>
    <row r="537" spans="1:7" ht="15">
      <c r="A537" s="81" t="s">
        <v>2438</v>
      </c>
      <c r="B537" s="80">
        <v>2</v>
      </c>
      <c r="C537" s="109">
        <v>0.006178640668620394</v>
      </c>
      <c r="D537" s="80" t="s">
        <v>2372</v>
      </c>
      <c r="E537" s="80" t="b">
        <v>0</v>
      </c>
      <c r="F537" s="80" t="b">
        <v>1</v>
      </c>
      <c r="G537" s="80" t="b">
        <v>0</v>
      </c>
    </row>
    <row r="538" spans="1:7" ht="15">
      <c r="A538" s="81" t="s">
        <v>2483</v>
      </c>
      <c r="B538" s="80">
        <v>2</v>
      </c>
      <c r="C538" s="109">
        <v>0</v>
      </c>
      <c r="D538" s="80" t="s">
        <v>2373</v>
      </c>
      <c r="E538" s="80" t="b">
        <v>0</v>
      </c>
      <c r="F538" s="80" t="b">
        <v>0</v>
      </c>
      <c r="G538" s="80" t="b">
        <v>0</v>
      </c>
    </row>
    <row r="539" spans="1:7" ht="15">
      <c r="A539" s="81" t="s">
        <v>2442</v>
      </c>
      <c r="B539" s="80">
        <v>2</v>
      </c>
      <c r="C539" s="109">
        <v>0.014684390032389328</v>
      </c>
      <c r="D539" s="80" t="s">
        <v>2379</v>
      </c>
      <c r="E539" s="80" t="b">
        <v>0</v>
      </c>
      <c r="F539" s="80" t="b">
        <v>0</v>
      </c>
      <c r="G539" s="80" t="b">
        <v>0</v>
      </c>
    </row>
    <row r="540" spans="1:7" ht="15">
      <c r="A540" s="81" t="s">
        <v>2484</v>
      </c>
      <c r="B540" s="80">
        <v>5</v>
      </c>
      <c r="C540" s="109">
        <v>0</v>
      </c>
      <c r="D540" s="80" t="s">
        <v>2381</v>
      </c>
      <c r="E540" s="80" t="b">
        <v>0</v>
      </c>
      <c r="F540" s="80" t="b">
        <v>0</v>
      </c>
      <c r="G540" s="80" t="b">
        <v>0</v>
      </c>
    </row>
    <row r="541" spans="1:7" ht="15">
      <c r="A541" s="81" t="s">
        <v>2475</v>
      </c>
      <c r="B541" s="80">
        <v>3</v>
      </c>
      <c r="C541" s="109">
        <v>0.021002092720742875</v>
      </c>
      <c r="D541" s="80" t="s">
        <v>2381</v>
      </c>
      <c r="E541" s="80" t="b">
        <v>0</v>
      </c>
      <c r="F541" s="80" t="b">
        <v>0</v>
      </c>
      <c r="G541" s="80" t="b">
        <v>0</v>
      </c>
    </row>
    <row r="542" spans="1:7" ht="15">
      <c r="A542" s="81" t="s">
        <v>2584</v>
      </c>
      <c r="B542" s="80">
        <v>2</v>
      </c>
      <c r="C542" s="109">
        <v>0</v>
      </c>
      <c r="D542" s="80" t="s">
        <v>2381</v>
      </c>
      <c r="E542" s="80" t="b">
        <v>0</v>
      </c>
      <c r="F542" s="80" t="b">
        <v>0</v>
      </c>
      <c r="G542" s="80" t="b">
        <v>0</v>
      </c>
    </row>
    <row r="543" spans="1:7" ht="15">
      <c r="A543" s="81" t="s">
        <v>2786</v>
      </c>
      <c r="B543" s="80">
        <v>2</v>
      </c>
      <c r="C543" s="109">
        <v>0.014001395147161916</v>
      </c>
      <c r="D543" s="80" t="s">
        <v>2381</v>
      </c>
      <c r="E543" s="80" t="b">
        <v>0</v>
      </c>
      <c r="F543" s="80" t="b">
        <v>0</v>
      </c>
      <c r="G543" s="80" t="b">
        <v>0</v>
      </c>
    </row>
    <row r="544" spans="1:7" ht="15">
      <c r="A544" s="81" t="s">
        <v>2448</v>
      </c>
      <c r="B544" s="80">
        <v>2</v>
      </c>
      <c r="C544" s="109">
        <v>0</v>
      </c>
      <c r="D544" s="80" t="s">
        <v>2381</v>
      </c>
      <c r="E544" s="80" t="b">
        <v>0</v>
      </c>
      <c r="F544" s="80" t="b">
        <v>0</v>
      </c>
      <c r="G544" s="80" t="b">
        <v>0</v>
      </c>
    </row>
    <row r="545" spans="1:7" ht="15">
      <c r="A545" s="81" t="s">
        <v>2783</v>
      </c>
      <c r="B545" s="80">
        <v>2</v>
      </c>
      <c r="C545" s="109">
        <v>0</v>
      </c>
      <c r="D545" s="80" t="s">
        <v>2381</v>
      </c>
      <c r="E545" s="80" t="b">
        <v>0</v>
      </c>
      <c r="F545" s="80" t="b">
        <v>0</v>
      </c>
      <c r="G545" s="80" t="b">
        <v>0</v>
      </c>
    </row>
    <row r="546" spans="1:7" ht="15">
      <c r="A546" s="81" t="s">
        <v>2438</v>
      </c>
      <c r="B546" s="80">
        <v>2</v>
      </c>
      <c r="C546" s="109">
        <v>0</v>
      </c>
      <c r="D546" s="80" t="s">
        <v>2381</v>
      </c>
      <c r="E546" s="80" t="b">
        <v>0</v>
      </c>
      <c r="F546" s="80" t="b">
        <v>1</v>
      </c>
      <c r="G546" s="80" t="b">
        <v>0</v>
      </c>
    </row>
    <row r="547" spans="1:7" ht="15">
      <c r="A547" s="81" t="s">
        <v>415</v>
      </c>
      <c r="B547" s="80">
        <v>2</v>
      </c>
      <c r="C547" s="109">
        <v>0</v>
      </c>
      <c r="D547" s="80" t="s">
        <v>2381</v>
      </c>
      <c r="E547" s="80" t="b">
        <v>0</v>
      </c>
      <c r="F547" s="80" t="b">
        <v>0</v>
      </c>
      <c r="G547" s="80" t="b">
        <v>0</v>
      </c>
    </row>
    <row r="548" spans="1:7" ht="15">
      <c r="A548" s="81" t="s">
        <v>2504</v>
      </c>
      <c r="B548" s="80">
        <v>4</v>
      </c>
      <c r="C548" s="109">
        <v>0</v>
      </c>
      <c r="D548" s="80" t="s">
        <v>2382</v>
      </c>
      <c r="E548" s="80" t="b">
        <v>0</v>
      </c>
      <c r="F548" s="80" t="b">
        <v>0</v>
      </c>
      <c r="G548" s="80" t="b">
        <v>0</v>
      </c>
    </row>
    <row r="549" spans="1:7" ht="15">
      <c r="A549" s="81" t="s">
        <v>2462</v>
      </c>
      <c r="B549" s="80">
        <v>2</v>
      </c>
      <c r="C549" s="109">
        <v>0</v>
      </c>
      <c r="D549" s="80" t="s">
        <v>2382</v>
      </c>
      <c r="E549" s="80" t="b">
        <v>0</v>
      </c>
      <c r="F549" s="80" t="b">
        <v>0</v>
      </c>
      <c r="G549" s="80" t="b">
        <v>0</v>
      </c>
    </row>
    <row r="550" spans="1:7" ht="15">
      <c r="A550" s="81" t="s">
        <v>2438</v>
      </c>
      <c r="B550" s="80">
        <v>2</v>
      </c>
      <c r="C550" s="109">
        <v>0</v>
      </c>
      <c r="D550" s="80" t="s">
        <v>2384</v>
      </c>
      <c r="E550" s="80" t="b">
        <v>0</v>
      </c>
      <c r="F550" s="80" t="b">
        <v>1</v>
      </c>
      <c r="G550" s="80" t="b">
        <v>0</v>
      </c>
    </row>
    <row r="551" spans="1:7" ht="15">
      <c r="A551" s="81" t="s">
        <v>2582</v>
      </c>
      <c r="B551" s="80">
        <v>3</v>
      </c>
      <c r="C551" s="109">
        <v>0</v>
      </c>
      <c r="D551" s="80" t="s">
        <v>2385</v>
      </c>
      <c r="E551" s="80" t="b">
        <v>0</v>
      </c>
      <c r="F551" s="80" t="b">
        <v>0</v>
      </c>
      <c r="G551" s="80" t="b">
        <v>0</v>
      </c>
    </row>
    <row r="552" spans="1:7" ht="15">
      <c r="A552" s="81" t="s">
        <v>2466</v>
      </c>
      <c r="B552" s="80">
        <v>2</v>
      </c>
      <c r="C552" s="109">
        <v>0</v>
      </c>
      <c r="D552" s="80" t="s">
        <v>2385</v>
      </c>
      <c r="E552" s="80" t="b">
        <v>0</v>
      </c>
      <c r="F552" s="80" t="b">
        <v>0</v>
      </c>
      <c r="G552" s="80" t="b">
        <v>0</v>
      </c>
    </row>
    <row r="553" spans="1:7" ht="15">
      <c r="A553" s="81" t="s">
        <v>2446</v>
      </c>
      <c r="B553" s="80">
        <v>2</v>
      </c>
      <c r="C553" s="109">
        <v>0.0177076468037636</v>
      </c>
      <c r="D553" s="80" t="s">
        <v>2389</v>
      </c>
      <c r="E553" s="80" t="b">
        <v>0</v>
      </c>
      <c r="F553" s="80" t="b">
        <v>0</v>
      </c>
      <c r="G553" s="80" t="b">
        <v>0</v>
      </c>
    </row>
    <row r="554" spans="1:7" ht="15">
      <c r="A554" s="81" t="s">
        <v>2732</v>
      </c>
      <c r="B554" s="80">
        <v>2</v>
      </c>
      <c r="C554" s="109">
        <v>0.0177076468037636</v>
      </c>
      <c r="D554" s="80" t="s">
        <v>2389</v>
      </c>
      <c r="E554" s="80" t="b">
        <v>0</v>
      </c>
      <c r="F554" s="80" t="b">
        <v>0</v>
      </c>
      <c r="G554" s="80" t="b">
        <v>0</v>
      </c>
    </row>
    <row r="555" spans="1:7" ht="15">
      <c r="A555" s="81" t="s">
        <v>2472</v>
      </c>
      <c r="B555" s="80">
        <v>2</v>
      </c>
      <c r="C555" s="109">
        <v>0</v>
      </c>
      <c r="D555" s="80" t="s">
        <v>2391</v>
      </c>
      <c r="E555" s="80" t="b">
        <v>0</v>
      </c>
      <c r="F555" s="80" t="b">
        <v>0</v>
      </c>
      <c r="G555" s="80" t="b">
        <v>0</v>
      </c>
    </row>
    <row r="556" spans="1:7" ht="15">
      <c r="A556" s="81" t="s">
        <v>2542</v>
      </c>
      <c r="B556" s="80">
        <v>2</v>
      </c>
      <c r="C556" s="109">
        <v>0.015437435675075958</v>
      </c>
      <c r="D556" s="80" t="s">
        <v>2391</v>
      </c>
      <c r="E556" s="80" t="b">
        <v>0</v>
      </c>
      <c r="F556" s="80" t="b">
        <v>0</v>
      </c>
      <c r="G556" s="80" t="b">
        <v>0</v>
      </c>
    </row>
    <row r="557" spans="1:7" ht="15">
      <c r="A557" s="81" t="s">
        <v>2449</v>
      </c>
      <c r="B557" s="80">
        <v>2</v>
      </c>
      <c r="C557" s="109">
        <v>0</v>
      </c>
      <c r="D557" s="80" t="s">
        <v>2393</v>
      </c>
      <c r="E557" s="80" t="b">
        <v>0</v>
      </c>
      <c r="F557" s="80" t="b">
        <v>0</v>
      </c>
      <c r="G557" s="80" t="b">
        <v>0</v>
      </c>
    </row>
    <row r="558" spans="1:7" ht="15">
      <c r="A558" s="81" t="s">
        <v>2618</v>
      </c>
      <c r="B558" s="80">
        <v>2</v>
      </c>
      <c r="C558" s="109">
        <v>0</v>
      </c>
      <c r="D558" s="80" t="s">
        <v>2393</v>
      </c>
      <c r="E558" s="80" t="b">
        <v>0</v>
      </c>
      <c r="F558" s="80" t="b">
        <v>1</v>
      </c>
      <c r="G558" s="80" t="b">
        <v>0</v>
      </c>
    </row>
    <row r="559" spans="1:7" ht="15">
      <c r="A559" s="81" t="s">
        <v>2469</v>
      </c>
      <c r="B559" s="80">
        <v>3</v>
      </c>
      <c r="C559" s="109">
        <v>0</v>
      </c>
      <c r="D559" s="80" t="s">
        <v>2395</v>
      </c>
      <c r="E559" s="80" t="b">
        <v>0</v>
      </c>
      <c r="F559" s="80" t="b">
        <v>0</v>
      </c>
      <c r="G559" s="80" t="b">
        <v>0</v>
      </c>
    </row>
    <row r="560" spans="1:7" ht="15">
      <c r="A560" s="81" t="s">
        <v>2754</v>
      </c>
      <c r="B560" s="80">
        <v>2</v>
      </c>
      <c r="C560" s="109">
        <v>0</v>
      </c>
      <c r="D560" s="80" t="s">
        <v>2395</v>
      </c>
      <c r="E560" s="80" t="b">
        <v>0</v>
      </c>
      <c r="F560" s="80" t="b">
        <v>0</v>
      </c>
      <c r="G560" s="80" t="b">
        <v>0</v>
      </c>
    </row>
    <row r="561" spans="1:7" ht="15">
      <c r="A561" s="81" t="s">
        <v>2679</v>
      </c>
      <c r="B561" s="80">
        <v>2</v>
      </c>
      <c r="C561" s="109">
        <v>0</v>
      </c>
      <c r="D561" s="80" t="s">
        <v>2395</v>
      </c>
      <c r="E561" s="80" t="b">
        <v>0</v>
      </c>
      <c r="F561" s="80" t="b">
        <v>0</v>
      </c>
      <c r="G561" s="80" t="b">
        <v>0</v>
      </c>
    </row>
    <row r="562" spans="1:7" ht="15">
      <c r="A562" s="81" t="s">
        <v>2649</v>
      </c>
      <c r="B562" s="80">
        <v>2</v>
      </c>
      <c r="C562" s="109">
        <v>0</v>
      </c>
      <c r="D562" s="80" t="s">
        <v>2395</v>
      </c>
      <c r="E562" s="80" t="b">
        <v>0</v>
      </c>
      <c r="F562" s="80" t="b">
        <v>0</v>
      </c>
      <c r="G562" s="80" t="b">
        <v>0</v>
      </c>
    </row>
    <row r="563" spans="1:7" ht="15">
      <c r="A563" s="81" t="s">
        <v>2476</v>
      </c>
      <c r="B563" s="80">
        <v>3</v>
      </c>
      <c r="C563" s="109">
        <v>0</v>
      </c>
      <c r="D563" s="80" t="s">
        <v>2396</v>
      </c>
      <c r="E563" s="80" t="b">
        <v>0</v>
      </c>
      <c r="F563" s="80" t="b">
        <v>0</v>
      </c>
      <c r="G563" s="80" t="b">
        <v>0</v>
      </c>
    </row>
    <row r="564" spans="1:7" ht="15">
      <c r="A564" s="81" t="s">
        <v>2527</v>
      </c>
      <c r="B564" s="80">
        <v>3</v>
      </c>
      <c r="C564" s="109">
        <v>0.017039433716829123</v>
      </c>
      <c r="D564" s="80" t="s">
        <v>2396</v>
      </c>
      <c r="E564" s="80" t="b">
        <v>0</v>
      </c>
      <c r="F564" s="80" t="b">
        <v>0</v>
      </c>
      <c r="G564" s="80" t="b">
        <v>0</v>
      </c>
    </row>
    <row r="565" spans="1:7" ht="15">
      <c r="A565" s="81" t="s">
        <v>2568</v>
      </c>
      <c r="B565" s="80">
        <v>2</v>
      </c>
      <c r="C565" s="109">
        <v>0.011359622477886083</v>
      </c>
      <c r="D565" s="80" t="s">
        <v>2396</v>
      </c>
      <c r="E565" s="80" t="b">
        <v>0</v>
      </c>
      <c r="F565" s="80" t="b">
        <v>0</v>
      </c>
      <c r="G565" s="80" t="b">
        <v>0</v>
      </c>
    </row>
    <row r="566" spans="1:7" ht="15">
      <c r="A566" s="81" t="s">
        <v>2573</v>
      </c>
      <c r="B566" s="80">
        <v>2</v>
      </c>
      <c r="C566" s="109">
        <v>0</v>
      </c>
      <c r="D566" s="80" t="s">
        <v>2396</v>
      </c>
      <c r="E566" s="80" t="b">
        <v>0</v>
      </c>
      <c r="F566" s="80" t="b">
        <v>0</v>
      </c>
      <c r="G566" s="80" t="b">
        <v>0</v>
      </c>
    </row>
    <row r="567" spans="1:7" ht="15">
      <c r="A567" s="81" t="s">
        <v>2574</v>
      </c>
      <c r="B567" s="80">
        <v>2</v>
      </c>
      <c r="C567" s="109">
        <v>0</v>
      </c>
      <c r="D567" s="80" t="s">
        <v>2396</v>
      </c>
      <c r="E567" s="80" t="b">
        <v>0</v>
      </c>
      <c r="F567" s="80" t="b">
        <v>0</v>
      </c>
      <c r="G567" s="80" t="b">
        <v>0</v>
      </c>
    </row>
    <row r="568" spans="1:7" ht="15">
      <c r="A568" s="81" t="s">
        <v>2472</v>
      </c>
      <c r="B568" s="80">
        <v>2</v>
      </c>
      <c r="C568" s="109">
        <v>0</v>
      </c>
      <c r="D568" s="80" t="s">
        <v>2397</v>
      </c>
      <c r="E568" s="80" t="b">
        <v>0</v>
      </c>
      <c r="F568" s="80" t="b">
        <v>0</v>
      </c>
      <c r="G568" s="80" t="b">
        <v>0</v>
      </c>
    </row>
    <row r="569" spans="1:7" ht="15">
      <c r="A569" s="81" t="s">
        <v>2747</v>
      </c>
      <c r="B569" s="80">
        <v>2</v>
      </c>
      <c r="C569" s="109">
        <v>0</v>
      </c>
      <c r="D569" s="80" t="s">
        <v>2404</v>
      </c>
      <c r="E569" s="80" t="b">
        <v>0</v>
      </c>
      <c r="F569" s="80" t="b">
        <v>0</v>
      </c>
      <c r="G569" s="80" t="b">
        <v>0</v>
      </c>
    </row>
    <row r="570" spans="1:7" ht="15">
      <c r="A570" s="81" t="s">
        <v>2675</v>
      </c>
      <c r="B570" s="80">
        <v>2</v>
      </c>
      <c r="C570" s="109">
        <v>0</v>
      </c>
      <c r="D570" s="80" t="s">
        <v>2404</v>
      </c>
      <c r="E570" s="80" t="b">
        <v>0</v>
      </c>
      <c r="F570" s="80" t="b">
        <v>0</v>
      </c>
      <c r="G570" s="80" t="b">
        <v>0</v>
      </c>
    </row>
    <row r="571" spans="1:7" ht="15">
      <c r="A571" s="81" t="s">
        <v>2742</v>
      </c>
      <c r="B571" s="80">
        <v>2</v>
      </c>
      <c r="C571" s="109">
        <v>0</v>
      </c>
      <c r="D571" s="80" t="s">
        <v>2404</v>
      </c>
      <c r="E571" s="80" t="b">
        <v>0</v>
      </c>
      <c r="F571" s="80" t="b">
        <v>0</v>
      </c>
      <c r="G571" s="80" t="b">
        <v>0</v>
      </c>
    </row>
    <row r="572" spans="1:7" ht="15">
      <c r="A572" s="81" t="s">
        <v>2686</v>
      </c>
      <c r="B572" s="80">
        <v>2</v>
      </c>
      <c r="C572" s="109">
        <v>0</v>
      </c>
      <c r="D572" s="80" t="s">
        <v>2404</v>
      </c>
      <c r="E572" s="80" t="b">
        <v>0</v>
      </c>
      <c r="F572" s="80" t="b">
        <v>0</v>
      </c>
      <c r="G572" s="80" t="b">
        <v>0</v>
      </c>
    </row>
    <row r="573" spans="1:7" ht="15">
      <c r="A573" s="81" t="s">
        <v>2439</v>
      </c>
      <c r="B573" s="80">
        <v>2</v>
      </c>
      <c r="C573" s="109">
        <v>0</v>
      </c>
      <c r="D573" s="80" t="s">
        <v>2407</v>
      </c>
      <c r="E573" s="80" t="b">
        <v>0</v>
      </c>
      <c r="F573" s="80" t="b">
        <v>1</v>
      </c>
      <c r="G573" s="80" t="b">
        <v>0</v>
      </c>
    </row>
    <row r="574" spans="1:7" ht="15">
      <c r="A574" s="81" t="s">
        <v>2438</v>
      </c>
      <c r="B574" s="80">
        <v>2</v>
      </c>
      <c r="C574" s="109">
        <v>0</v>
      </c>
      <c r="D574" s="80" t="s">
        <v>2407</v>
      </c>
      <c r="E574" s="80" t="b">
        <v>0</v>
      </c>
      <c r="F574" s="80" t="b">
        <v>1</v>
      </c>
      <c r="G574" s="80" t="b">
        <v>0</v>
      </c>
    </row>
    <row r="575" spans="1:7" ht="15">
      <c r="A575" s="81" t="s">
        <v>2572</v>
      </c>
      <c r="B575" s="80">
        <v>2</v>
      </c>
      <c r="C575" s="109">
        <v>0</v>
      </c>
      <c r="D575" s="80" t="s">
        <v>2409</v>
      </c>
      <c r="E575" s="80" t="b">
        <v>0</v>
      </c>
      <c r="F575" s="80" t="b">
        <v>0</v>
      </c>
      <c r="G575" s="80" t="b">
        <v>0</v>
      </c>
    </row>
    <row r="576" spans="1:7" ht="15">
      <c r="A576" s="81" t="s">
        <v>2458</v>
      </c>
      <c r="B576" s="80">
        <v>2</v>
      </c>
      <c r="C576" s="109">
        <v>0</v>
      </c>
      <c r="D576" s="80" t="s">
        <v>2409</v>
      </c>
      <c r="E576" s="80" t="b">
        <v>1</v>
      </c>
      <c r="F576" s="80" t="b">
        <v>0</v>
      </c>
      <c r="G576" s="80" t="b">
        <v>0</v>
      </c>
    </row>
    <row r="577" spans="1:7" ht="15">
      <c r="A577" s="81" t="s">
        <v>2466</v>
      </c>
      <c r="B577" s="80">
        <v>2</v>
      </c>
      <c r="C577" s="109">
        <v>0</v>
      </c>
      <c r="D577" s="80" t="s">
        <v>2409</v>
      </c>
      <c r="E577" s="80" t="b">
        <v>0</v>
      </c>
      <c r="F577" s="80" t="b">
        <v>0</v>
      </c>
      <c r="G577" s="80" t="b">
        <v>0</v>
      </c>
    </row>
    <row r="578" spans="1:7" ht="15">
      <c r="A578" s="81" t="s">
        <v>2736</v>
      </c>
      <c r="B578" s="80">
        <v>2</v>
      </c>
      <c r="C578" s="109">
        <v>0.015437435675075958</v>
      </c>
      <c r="D578" s="80" t="s">
        <v>2409</v>
      </c>
      <c r="E578" s="80" t="b">
        <v>0</v>
      </c>
      <c r="F578" s="80" t="b">
        <v>0</v>
      </c>
      <c r="G578" s="80" t="b">
        <v>0</v>
      </c>
    </row>
    <row r="579" spans="1:7" ht="15">
      <c r="A579" s="81" t="s">
        <v>2629</v>
      </c>
      <c r="B579" s="80">
        <v>2</v>
      </c>
      <c r="C579" s="109">
        <v>0.013683181621090055</v>
      </c>
      <c r="D579" s="80" t="s">
        <v>2410</v>
      </c>
      <c r="E579" s="80" t="b">
        <v>0</v>
      </c>
      <c r="F579" s="80" t="b">
        <v>0</v>
      </c>
      <c r="G579" s="80" t="b">
        <v>0</v>
      </c>
    </row>
    <row r="580" spans="1:7" ht="15">
      <c r="A580" s="81" t="s">
        <v>2442</v>
      </c>
      <c r="B580" s="80">
        <v>2</v>
      </c>
      <c r="C580" s="109">
        <v>0</v>
      </c>
      <c r="D580" s="80" t="s">
        <v>2410</v>
      </c>
      <c r="E580" s="80" t="b">
        <v>0</v>
      </c>
      <c r="F580" s="80" t="b">
        <v>0</v>
      </c>
      <c r="G580" s="80" t="b">
        <v>0</v>
      </c>
    </row>
    <row r="581" spans="1:7" ht="15">
      <c r="A581" s="81" t="s">
        <v>2438</v>
      </c>
      <c r="B581" s="80">
        <v>2</v>
      </c>
      <c r="C581" s="109">
        <v>0</v>
      </c>
      <c r="D581" s="80" t="s">
        <v>2410</v>
      </c>
      <c r="E581" s="80" t="b">
        <v>0</v>
      </c>
      <c r="F581" s="80" t="b">
        <v>1</v>
      </c>
      <c r="G581" s="80" t="b">
        <v>0</v>
      </c>
    </row>
    <row r="582" spans="1:7" ht="15">
      <c r="A582" s="81" t="s">
        <v>2451</v>
      </c>
      <c r="B582" s="80">
        <v>2</v>
      </c>
      <c r="C582" s="109">
        <v>0</v>
      </c>
      <c r="D582" s="80" t="s">
        <v>2411</v>
      </c>
      <c r="E582" s="80" t="b">
        <v>0</v>
      </c>
      <c r="F582" s="80" t="b">
        <v>0</v>
      </c>
      <c r="G582" s="80" t="b">
        <v>0</v>
      </c>
    </row>
    <row r="583" spans="1:7" ht="15">
      <c r="A583" s="81" t="s">
        <v>2454</v>
      </c>
      <c r="B583" s="80">
        <v>2</v>
      </c>
      <c r="C583" s="109">
        <v>0</v>
      </c>
      <c r="D583" s="80" t="s">
        <v>2411</v>
      </c>
      <c r="E583" s="80" t="b">
        <v>0</v>
      </c>
      <c r="F583" s="80" t="b">
        <v>0</v>
      </c>
      <c r="G58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26552-A7F7-4391-AA39-897F8B4D0FA8}">
  <dimension ref="A1:L1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2803</v>
      </c>
      <c r="B1" s="7" t="s">
        <v>2804</v>
      </c>
      <c r="C1" s="7" t="s">
        <v>2794</v>
      </c>
      <c r="D1" s="7" t="s">
        <v>2798</v>
      </c>
      <c r="E1" s="7" t="s">
        <v>2805</v>
      </c>
      <c r="F1" s="7" t="s">
        <v>144</v>
      </c>
      <c r="G1" s="7" t="s">
        <v>2806</v>
      </c>
      <c r="H1" s="7" t="s">
        <v>2807</v>
      </c>
      <c r="I1" s="7" t="s">
        <v>2808</v>
      </c>
      <c r="J1" s="7" t="s">
        <v>2809</v>
      </c>
      <c r="K1" s="7" t="s">
        <v>2810</v>
      </c>
      <c r="L1" s="7" t="s">
        <v>2811</v>
      </c>
    </row>
    <row r="2" spans="1:12" ht="15">
      <c r="A2" s="80" t="s">
        <v>2439</v>
      </c>
      <c r="B2" s="80" t="s">
        <v>2438</v>
      </c>
      <c r="C2" s="80">
        <v>44</v>
      </c>
      <c r="D2" s="109">
        <v>0.009068346858779327</v>
      </c>
      <c r="E2" s="109">
        <v>1.2351599062035266</v>
      </c>
      <c r="F2" s="80" t="s">
        <v>2799</v>
      </c>
      <c r="G2" s="80" t="b">
        <v>0</v>
      </c>
      <c r="H2" s="80" t="b">
        <v>1</v>
      </c>
      <c r="I2" s="80" t="b">
        <v>0</v>
      </c>
      <c r="J2" s="80" t="b">
        <v>0</v>
      </c>
      <c r="K2" s="80" t="b">
        <v>1</v>
      </c>
      <c r="L2" s="80" t="b">
        <v>0</v>
      </c>
    </row>
    <row r="3" spans="1:12" ht="15">
      <c r="A3" s="81" t="s">
        <v>2452</v>
      </c>
      <c r="B3" s="80" t="s">
        <v>2438</v>
      </c>
      <c r="C3" s="80">
        <v>7</v>
      </c>
      <c r="D3" s="109">
        <v>0.0037199867597750044</v>
      </c>
      <c r="E3" s="109">
        <v>1.2058131406753698</v>
      </c>
      <c r="F3" s="80" t="s">
        <v>2799</v>
      </c>
      <c r="G3" s="80" t="b">
        <v>0</v>
      </c>
      <c r="H3" s="80" t="b">
        <v>0</v>
      </c>
      <c r="I3" s="80" t="b">
        <v>0</v>
      </c>
      <c r="J3" s="80" t="b">
        <v>0</v>
      </c>
      <c r="K3" s="80" t="b">
        <v>1</v>
      </c>
      <c r="L3" s="80" t="b">
        <v>0</v>
      </c>
    </row>
    <row r="4" spans="1:12" ht="15">
      <c r="A4" s="81" t="s">
        <v>2453</v>
      </c>
      <c r="B4" s="80" t="s">
        <v>2438</v>
      </c>
      <c r="C4" s="80">
        <v>7</v>
      </c>
      <c r="D4" s="109">
        <v>0.0037199867597750044</v>
      </c>
      <c r="E4" s="109">
        <v>1.2058131406753698</v>
      </c>
      <c r="F4" s="80" t="s">
        <v>2799</v>
      </c>
      <c r="G4" s="80" t="b">
        <v>0</v>
      </c>
      <c r="H4" s="80" t="b">
        <v>0</v>
      </c>
      <c r="I4" s="80" t="b">
        <v>0</v>
      </c>
      <c r="J4" s="80" t="b">
        <v>0</v>
      </c>
      <c r="K4" s="80" t="b">
        <v>1</v>
      </c>
      <c r="L4" s="80" t="b">
        <v>0</v>
      </c>
    </row>
    <row r="5" spans="1:12" ht="15">
      <c r="A5" s="81" t="s">
        <v>2447</v>
      </c>
      <c r="B5" s="80" t="s">
        <v>2438</v>
      </c>
      <c r="C5" s="80">
        <v>7</v>
      </c>
      <c r="D5" s="109">
        <v>0.0037199867597750044</v>
      </c>
      <c r="E5" s="109">
        <v>1.1089031276673134</v>
      </c>
      <c r="F5" s="80" t="s">
        <v>2799</v>
      </c>
      <c r="G5" s="80" t="b">
        <v>0</v>
      </c>
      <c r="H5" s="80" t="b">
        <v>0</v>
      </c>
      <c r="I5" s="80" t="b">
        <v>0</v>
      </c>
      <c r="J5" s="80" t="b">
        <v>0</v>
      </c>
      <c r="K5" s="80" t="b">
        <v>1</v>
      </c>
      <c r="L5" s="80" t="b">
        <v>0</v>
      </c>
    </row>
    <row r="6" spans="1:12" ht="15">
      <c r="A6" s="81" t="s">
        <v>2438</v>
      </c>
      <c r="B6" s="80" t="s">
        <v>2448</v>
      </c>
      <c r="C6" s="80">
        <v>5</v>
      </c>
      <c r="D6" s="109">
        <v>0.0029548677838617788</v>
      </c>
      <c r="E6" s="109">
        <v>0.9986876478797196</v>
      </c>
      <c r="F6" s="80" t="s">
        <v>2799</v>
      </c>
      <c r="G6" s="80" t="b">
        <v>0</v>
      </c>
      <c r="H6" s="80" t="b">
        <v>1</v>
      </c>
      <c r="I6" s="80" t="b">
        <v>0</v>
      </c>
      <c r="J6" s="80" t="b">
        <v>0</v>
      </c>
      <c r="K6" s="80" t="b">
        <v>0</v>
      </c>
      <c r="L6" s="80" t="b">
        <v>0</v>
      </c>
    </row>
    <row r="7" spans="1:12" ht="15">
      <c r="A7" s="81" t="s">
        <v>2460</v>
      </c>
      <c r="B7" s="80" t="s">
        <v>2443</v>
      </c>
      <c r="C7" s="80">
        <v>5</v>
      </c>
      <c r="D7" s="109">
        <v>0.0029548677838617788</v>
      </c>
      <c r="E7" s="109">
        <v>2.1710510344161578</v>
      </c>
      <c r="F7" s="80" t="s">
        <v>2799</v>
      </c>
      <c r="G7" s="80" t="b">
        <v>0</v>
      </c>
      <c r="H7" s="80" t="b">
        <v>0</v>
      </c>
      <c r="I7" s="80" t="b">
        <v>0</v>
      </c>
      <c r="J7" s="80" t="b">
        <v>0</v>
      </c>
      <c r="K7" s="80" t="b">
        <v>0</v>
      </c>
      <c r="L7" s="80" t="b">
        <v>0</v>
      </c>
    </row>
    <row r="8" spans="1:12" ht="15">
      <c r="A8" s="81" t="s">
        <v>2441</v>
      </c>
      <c r="B8" s="80" t="s">
        <v>2439</v>
      </c>
      <c r="C8" s="80">
        <v>5</v>
      </c>
      <c r="D8" s="109">
        <v>0.0029548677838617788</v>
      </c>
      <c r="E8" s="109">
        <v>1.2535859224713704</v>
      </c>
      <c r="F8" s="80" t="s">
        <v>2799</v>
      </c>
      <c r="G8" s="80" t="b">
        <v>0</v>
      </c>
      <c r="H8" s="80" t="b">
        <v>0</v>
      </c>
      <c r="I8" s="80" t="b">
        <v>0</v>
      </c>
      <c r="J8" s="80" t="b">
        <v>0</v>
      </c>
      <c r="K8" s="80" t="b">
        <v>1</v>
      </c>
      <c r="L8" s="80" t="b">
        <v>0</v>
      </c>
    </row>
    <row r="9" spans="1:12" ht="15">
      <c r="A9" s="81" t="s">
        <v>2481</v>
      </c>
      <c r="B9" s="80" t="s">
        <v>2439</v>
      </c>
      <c r="C9" s="80">
        <v>5</v>
      </c>
      <c r="D9" s="109">
        <v>0.0029548677838617788</v>
      </c>
      <c r="E9" s="109">
        <v>1.730707177191033</v>
      </c>
      <c r="F9" s="80" t="s">
        <v>2799</v>
      </c>
      <c r="G9" s="80" t="b">
        <v>0</v>
      </c>
      <c r="H9" s="80" t="b">
        <v>0</v>
      </c>
      <c r="I9" s="80" t="b">
        <v>0</v>
      </c>
      <c r="J9" s="80" t="b">
        <v>0</v>
      </c>
      <c r="K9" s="80" t="b">
        <v>1</v>
      </c>
      <c r="L9" s="80" t="b">
        <v>0</v>
      </c>
    </row>
    <row r="10" spans="1:12" ht="15">
      <c r="A10" s="81" t="s">
        <v>2496</v>
      </c>
      <c r="B10" s="80" t="s">
        <v>2460</v>
      </c>
      <c r="C10" s="80">
        <v>4</v>
      </c>
      <c r="D10" s="109">
        <v>0.002521856758479898</v>
      </c>
      <c r="E10" s="109">
        <v>2.586024382386976</v>
      </c>
      <c r="F10" s="80" t="s">
        <v>2799</v>
      </c>
      <c r="G10" s="80" t="b">
        <v>0</v>
      </c>
      <c r="H10" s="80" t="b">
        <v>0</v>
      </c>
      <c r="I10" s="80" t="b">
        <v>0</v>
      </c>
      <c r="J10" s="80" t="b">
        <v>0</v>
      </c>
      <c r="K10" s="80" t="b">
        <v>0</v>
      </c>
      <c r="L10" s="80" t="b">
        <v>0</v>
      </c>
    </row>
    <row r="11" spans="1:12" ht="15">
      <c r="A11" s="81" t="s">
        <v>2438</v>
      </c>
      <c r="B11" s="80" t="s">
        <v>2441</v>
      </c>
      <c r="C11" s="80">
        <v>4</v>
      </c>
      <c r="D11" s="109">
        <v>0.002521856758479898</v>
      </c>
      <c r="E11" s="109">
        <v>0.725686375815982</v>
      </c>
      <c r="F11" s="80" t="s">
        <v>2799</v>
      </c>
      <c r="G11" s="80" t="b">
        <v>0</v>
      </c>
      <c r="H11" s="80" t="b">
        <v>1</v>
      </c>
      <c r="I11" s="80" t="b">
        <v>0</v>
      </c>
      <c r="J11" s="80" t="b">
        <v>0</v>
      </c>
      <c r="K11" s="80" t="b">
        <v>0</v>
      </c>
      <c r="L11" s="80" t="b">
        <v>0</v>
      </c>
    </row>
    <row r="12" spans="1:12" ht="15">
      <c r="A12" s="81" t="s">
        <v>2441</v>
      </c>
      <c r="B12" s="80" t="s">
        <v>2496</v>
      </c>
      <c r="C12" s="80">
        <v>4</v>
      </c>
      <c r="D12" s="109">
        <v>0.002521856758479898</v>
      </c>
      <c r="E12" s="109">
        <v>2.188084373714938</v>
      </c>
      <c r="F12" s="80" t="s">
        <v>2799</v>
      </c>
      <c r="G12" s="80" t="b">
        <v>0</v>
      </c>
      <c r="H12" s="80" t="b">
        <v>0</v>
      </c>
      <c r="I12" s="80" t="b">
        <v>0</v>
      </c>
      <c r="J12" s="80" t="b">
        <v>0</v>
      </c>
      <c r="K12" s="80" t="b">
        <v>0</v>
      </c>
      <c r="L12" s="80" t="b">
        <v>0</v>
      </c>
    </row>
    <row r="13" spans="1:12" ht="15">
      <c r="A13" s="81" t="s">
        <v>2450</v>
      </c>
      <c r="B13" s="80" t="s">
        <v>2512</v>
      </c>
      <c r="C13" s="80">
        <v>3</v>
      </c>
      <c r="D13" s="109">
        <v>0.002044129410679361</v>
      </c>
      <c r="E13" s="109">
        <v>2.336146909170376</v>
      </c>
      <c r="F13" s="80" t="s">
        <v>2799</v>
      </c>
      <c r="G13" s="80" t="b">
        <v>0</v>
      </c>
      <c r="H13" s="80" t="b">
        <v>0</v>
      </c>
      <c r="I13" s="80" t="b">
        <v>0</v>
      </c>
      <c r="J13" s="80" t="b">
        <v>0</v>
      </c>
      <c r="K13" s="80" t="b">
        <v>0</v>
      </c>
      <c r="L13" s="80" t="b">
        <v>0</v>
      </c>
    </row>
    <row r="14" spans="1:12" ht="15">
      <c r="A14" s="81" t="s">
        <v>2516</v>
      </c>
      <c r="B14" s="80" t="s">
        <v>2438</v>
      </c>
      <c r="C14" s="80">
        <v>3</v>
      </c>
      <c r="D14" s="109">
        <v>0.002044129410679361</v>
      </c>
      <c r="E14" s="109">
        <v>1.1388663510447565</v>
      </c>
      <c r="F14" s="80" t="s">
        <v>2799</v>
      </c>
      <c r="G14" s="80" t="b">
        <v>0</v>
      </c>
      <c r="H14" s="80" t="b">
        <v>0</v>
      </c>
      <c r="I14" s="80" t="b">
        <v>0</v>
      </c>
      <c r="J14" s="80" t="b">
        <v>0</v>
      </c>
      <c r="K14" s="80" t="b">
        <v>1</v>
      </c>
      <c r="L14" s="80" t="b">
        <v>0</v>
      </c>
    </row>
    <row r="15" spans="1:12" ht="15">
      <c r="A15" s="81" t="s">
        <v>2541</v>
      </c>
      <c r="B15" s="80" t="s">
        <v>2532</v>
      </c>
      <c r="C15" s="80">
        <v>3</v>
      </c>
      <c r="D15" s="109">
        <v>0.002044129410679361</v>
      </c>
      <c r="E15" s="109">
        <v>2.8870543780509568</v>
      </c>
      <c r="F15" s="80" t="s">
        <v>2799</v>
      </c>
      <c r="G15" s="80" t="b">
        <v>0</v>
      </c>
      <c r="H15" s="80" t="b">
        <v>0</v>
      </c>
      <c r="I15" s="80" t="b">
        <v>0</v>
      </c>
      <c r="J15" s="80" t="b">
        <v>0</v>
      </c>
      <c r="K15" s="80" t="b">
        <v>0</v>
      </c>
      <c r="L15" s="80" t="b">
        <v>0</v>
      </c>
    </row>
    <row r="16" spans="1:12" ht="15">
      <c r="A16" s="81" t="s">
        <v>2593</v>
      </c>
      <c r="B16" s="80" t="s">
        <v>2578</v>
      </c>
      <c r="C16" s="80">
        <v>3</v>
      </c>
      <c r="D16" s="109">
        <v>0.002044129410679361</v>
      </c>
      <c r="E16" s="109">
        <v>2.8870543780509568</v>
      </c>
      <c r="F16" s="80" t="s">
        <v>2799</v>
      </c>
      <c r="G16" s="80" t="b">
        <v>1</v>
      </c>
      <c r="H16" s="80" t="b">
        <v>0</v>
      </c>
      <c r="I16" s="80" t="b">
        <v>0</v>
      </c>
      <c r="J16" s="80" t="b">
        <v>0</v>
      </c>
      <c r="K16" s="80" t="b">
        <v>0</v>
      </c>
      <c r="L16" s="80" t="b">
        <v>0</v>
      </c>
    </row>
    <row r="17" spans="1:12" ht="15">
      <c r="A17" s="81" t="s">
        <v>2536</v>
      </c>
      <c r="B17" s="80" t="s">
        <v>2562</v>
      </c>
      <c r="C17" s="80">
        <v>3</v>
      </c>
      <c r="D17" s="109">
        <v>0.002044129410679361</v>
      </c>
      <c r="E17" s="109">
        <v>2.8870543780509568</v>
      </c>
      <c r="F17" s="80" t="s">
        <v>2799</v>
      </c>
      <c r="G17" s="80" t="b">
        <v>0</v>
      </c>
      <c r="H17" s="80" t="b">
        <v>0</v>
      </c>
      <c r="I17" s="80" t="b">
        <v>0</v>
      </c>
      <c r="J17" s="80" t="b">
        <v>0</v>
      </c>
      <c r="K17" s="80" t="b">
        <v>0</v>
      </c>
      <c r="L17" s="80" t="b">
        <v>0</v>
      </c>
    </row>
    <row r="18" spans="1:12" ht="15">
      <c r="A18" s="81" t="s">
        <v>2578</v>
      </c>
      <c r="B18" s="80" t="s">
        <v>2541</v>
      </c>
      <c r="C18" s="80">
        <v>3</v>
      </c>
      <c r="D18" s="109">
        <v>0.002044129410679361</v>
      </c>
      <c r="E18" s="109">
        <v>2.8870543780509568</v>
      </c>
      <c r="F18" s="80" t="s">
        <v>2799</v>
      </c>
      <c r="G18" s="80" t="b">
        <v>0</v>
      </c>
      <c r="H18" s="80" t="b">
        <v>0</v>
      </c>
      <c r="I18" s="80" t="b">
        <v>0</v>
      </c>
      <c r="J18" s="80" t="b">
        <v>0</v>
      </c>
      <c r="K18" s="80" t="b">
        <v>0</v>
      </c>
      <c r="L18" s="80" t="b">
        <v>0</v>
      </c>
    </row>
    <row r="19" spans="1:12" ht="15">
      <c r="A19" s="81" t="s">
        <v>2473</v>
      </c>
      <c r="B19" s="80" t="s">
        <v>2438</v>
      </c>
      <c r="C19" s="80">
        <v>3</v>
      </c>
      <c r="D19" s="109">
        <v>0.002044129410679361</v>
      </c>
      <c r="E19" s="109">
        <v>1.0419563380367</v>
      </c>
      <c r="F19" s="80" t="s">
        <v>2799</v>
      </c>
      <c r="G19" s="80" t="b">
        <v>0</v>
      </c>
      <c r="H19" s="80" t="b">
        <v>0</v>
      </c>
      <c r="I19" s="80" t="b">
        <v>0</v>
      </c>
      <c r="J19" s="80" t="b">
        <v>0</v>
      </c>
      <c r="K19" s="80" t="b">
        <v>1</v>
      </c>
      <c r="L19" s="80" t="b">
        <v>0</v>
      </c>
    </row>
    <row r="20" spans="1:12" ht="15">
      <c r="A20" s="81" t="s">
        <v>2565</v>
      </c>
      <c r="B20" s="80" t="s">
        <v>2550</v>
      </c>
      <c r="C20" s="80">
        <v>3</v>
      </c>
      <c r="D20" s="109">
        <v>0.002044129410679361</v>
      </c>
      <c r="E20" s="109">
        <v>2.8870543780509568</v>
      </c>
      <c r="F20" s="80" t="s">
        <v>2799</v>
      </c>
      <c r="G20" s="80" t="b">
        <v>0</v>
      </c>
      <c r="H20" s="80" t="b">
        <v>0</v>
      </c>
      <c r="I20" s="80" t="b">
        <v>0</v>
      </c>
      <c r="J20" s="80" t="b">
        <v>0</v>
      </c>
      <c r="K20" s="80" t="b">
        <v>0</v>
      </c>
      <c r="L20" s="80" t="b">
        <v>0</v>
      </c>
    </row>
    <row r="21" spans="1:12" ht="15">
      <c r="A21" s="81" t="s">
        <v>2563</v>
      </c>
      <c r="B21" s="80" t="s">
        <v>2516</v>
      </c>
      <c r="C21" s="80">
        <v>3</v>
      </c>
      <c r="D21" s="109">
        <v>0.002044129410679361</v>
      </c>
      <c r="E21" s="109">
        <v>2.762115641442657</v>
      </c>
      <c r="F21" s="80" t="s">
        <v>2799</v>
      </c>
      <c r="G21" s="80" t="b">
        <v>0</v>
      </c>
      <c r="H21" s="80" t="b">
        <v>0</v>
      </c>
      <c r="I21" s="80" t="b">
        <v>0</v>
      </c>
      <c r="J21" s="80" t="b">
        <v>0</v>
      </c>
      <c r="K21" s="80" t="b">
        <v>0</v>
      </c>
      <c r="L21" s="80" t="b">
        <v>0</v>
      </c>
    </row>
    <row r="22" spans="1:12" ht="15">
      <c r="A22" s="81" t="s">
        <v>2438</v>
      </c>
      <c r="B22" s="80" t="s">
        <v>2586</v>
      </c>
      <c r="C22" s="80">
        <v>3</v>
      </c>
      <c r="D22" s="109">
        <v>0.002044129410679361</v>
      </c>
      <c r="E22" s="109">
        <v>1.299717643543701</v>
      </c>
      <c r="F22" s="80" t="s">
        <v>2799</v>
      </c>
      <c r="G22" s="80" t="b">
        <v>0</v>
      </c>
      <c r="H22" s="80" t="b">
        <v>1</v>
      </c>
      <c r="I22" s="80" t="b">
        <v>0</v>
      </c>
      <c r="J22" s="80" t="b">
        <v>0</v>
      </c>
      <c r="K22" s="80" t="b">
        <v>0</v>
      </c>
      <c r="L22" s="80" t="b">
        <v>0</v>
      </c>
    </row>
    <row r="23" spans="1:12" ht="15">
      <c r="A23" s="81" t="s">
        <v>2539</v>
      </c>
      <c r="B23" s="80" t="s">
        <v>2565</v>
      </c>
      <c r="C23" s="80">
        <v>3</v>
      </c>
      <c r="D23" s="109">
        <v>0.002044129410679361</v>
      </c>
      <c r="E23" s="109">
        <v>2.8870543780509568</v>
      </c>
      <c r="F23" s="80" t="s">
        <v>2799</v>
      </c>
      <c r="G23" s="80" t="b">
        <v>0</v>
      </c>
      <c r="H23" s="80" t="b">
        <v>0</v>
      </c>
      <c r="I23" s="80" t="b">
        <v>0</v>
      </c>
      <c r="J23" s="80" t="b">
        <v>0</v>
      </c>
      <c r="K23" s="80" t="b">
        <v>0</v>
      </c>
      <c r="L23" s="80" t="b">
        <v>0</v>
      </c>
    </row>
    <row r="24" spans="1:12" ht="15">
      <c r="A24" s="81" t="s">
        <v>2512</v>
      </c>
      <c r="B24" s="80" t="s">
        <v>2539</v>
      </c>
      <c r="C24" s="80">
        <v>3</v>
      </c>
      <c r="D24" s="109">
        <v>0.002044129410679361</v>
      </c>
      <c r="E24" s="109">
        <v>2.762115641442657</v>
      </c>
      <c r="F24" s="80" t="s">
        <v>2799</v>
      </c>
      <c r="G24" s="80" t="b">
        <v>0</v>
      </c>
      <c r="H24" s="80" t="b">
        <v>0</v>
      </c>
      <c r="I24" s="80" t="b">
        <v>0</v>
      </c>
      <c r="J24" s="80" t="b">
        <v>0</v>
      </c>
      <c r="K24" s="80" t="b">
        <v>0</v>
      </c>
      <c r="L24" s="80" t="b">
        <v>0</v>
      </c>
    </row>
    <row r="25" spans="1:12" ht="15">
      <c r="A25" s="81" t="s">
        <v>2451</v>
      </c>
      <c r="B25" s="80" t="s">
        <v>2438</v>
      </c>
      <c r="C25" s="80">
        <v>3</v>
      </c>
      <c r="D25" s="109">
        <v>0.002044129410679361</v>
      </c>
      <c r="E25" s="109">
        <v>0.7866838329333941</v>
      </c>
      <c r="F25" s="80" t="s">
        <v>2799</v>
      </c>
      <c r="G25" s="80" t="b">
        <v>0</v>
      </c>
      <c r="H25" s="80" t="b">
        <v>0</v>
      </c>
      <c r="I25" s="80" t="b">
        <v>0</v>
      </c>
      <c r="J25" s="80" t="b">
        <v>0</v>
      </c>
      <c r="K25" s="80" t="b">
        <v>1</v>
      </c>
      <c r="L25" s="80" t="b">
        <v>0</v>
      </c>
    </row>
    <row r="26" spans="1:12" ht="15">
      <c r="A26" s="81" t="s">
        <v>2495</v>
      </c>
      <c r="B26" s="80" t="s">
        <v>2438</v>
      </c>
      <c r="C26" s="80">
        <v>3</v>
      </c>
      <c r="D26" s="109">
        <v>0.002044129410679361</v>
      </c>
      <c r="E26" s="109">
        <v>1.1388663510447565</v>
      </c>
      <c r="F26" s="80" t="s">
        <v>2799</v>
      </c>
      <c r="G26" s="80" t="b">
        <v>0</v>
      </c>
      <c r="H26" s="80" t="b">
        <v>0</v>
      </c>
      <c r="I26" s="80" t="b">
        <v>0</v>
      </c>
      <c r="J26" s="80" t="b">
        <v>0</v>
      </c>
      <c r="K26" s="80" t="b">
        <v>1</v>
      </c>
      <c r="L26" s="80" t="b">
        <v>0</v>
      </c>
    </row>
    <row r="27" spans="1:12" ht="15">
      <c r="A27" s="81" t="s">
        <v>2532</v>
      </c>
      <c r="B27" s="80" t="s">
        <v>2493</v>
      </c>
      <c r="C27" s="80">
        <v>3</v>
      </c>
      <c r="D27" s="109">
        <v>0.002044129410679361</v>
      </c>
      <c r="E27" s="109">
        <v>2.762115641442657</v>
      </c>
      <c r="F27" s="80" t="s">
        <v>2799</v>
      </c>
      <c r="G27" s="80" t="b">
        <v>0</v>
      </c>
      <c r="H27" s="80" t="b">
        <v>0</v>
      </c>
      <c r="I27" s="80" t="b">
        <v>0</v>
      </c>
      <c r="J27" s="80" t="b">
        <v>0</v>
      </c>
      <c r="K27" s="80" t="b">
        <v>0</v>
      </c>
      <c r="L27" s="80" t="b">
        <v>0</v>
      </c>
    </row>
    <row r="28" spans="1:12" ht="15">
      <c r="A28" s="81" t="s">
        <v>2438</v>
      </c>
      <c r="B28" s="80" t="s">
        <v>2547</v>
      </c>
      <c r="C28" s="80">
        <v>3</v>
      </c>
      <c r="D28" s="109">
        <v>0.002044129410679361</v>
      </c>
      <c r="E28" s="109">
        <v>1.299717643543701</v>
      </c>
      <c r="F28" s="80" t="s">
        <v>2799</v>
      </c>
      <c r="G28" s="80" t="b">
        <v>0</v>
      </c>
      <c r="H28" s="80" t="b">
        <v>1</v>
      </c>
      <c r="I28" s="80" t="b">
        <v>0</v>
      </c>
      <c r="J28" s="80" t="b">
        <v>0</v>
      </c>
      <c r="K28" s="80" t="b">
        <v>0</v>
      </c>
      <c r="L28" s="80" t="b">
        <v>0</v>
      </c>
    </row>
    <row r="29" spans="1:12" ht="15">
      <c r="A29" s="81" t="s">
        <v>2490</v>
      </c>
      <c r="B29" s="80" t="s">
        <v>2501</v>
      </c>
      <c r="C29" s="80">
        <v>3</v>
      </c>
      <c r="D29" s="109">
        <v>0.002044129410679361</v>
      </c>
      <c r="E29" s="109">
        <v>2.637176904834357</v>
      </c>
      <c r="F29" s="80" t="s">
        <v>2799</v>
      </c>
      <c r="G29" s="80" t="b">
        <v>0</v>
      </c>
      <c r="H29" s="80" t="b">
        <v>0</v>
      </c>
      <c r="I29" s="80" t="b">
        <v>0</v>
      </c>
      <c r="J29" s="80" t="b">
        <v>0</v>
      </c>
      <c r="K29" s="80" t="b">
        <v>0</v>
      </c>
      <c r="L29" s="80" t="b">
        <v>0</v>
      </c>
    </row>
    <row r="30" spans="1:12" ht="15">
      <c r="A30" s="81" t="s">
        <v>2443</v>
      </c>
      <c r="B30" s="80" t="s">
        <v>2445</v>
      </c>
      <c r="C30" s="80">
        <v>3</v>
      </c>
      <c r="D30" s="109">
        <v>0.002044129410679361</v>
      </c>
      <c r="E30" s="109">
        <v>1.77311102574412</v>
      </c>
      <c r="F30" s="80" t="s">
        <v>2799</v>
      </c>
      <c r="G30" s="80" t="b">
        <v>0</v>
      </c>
      <c r="H30" s="80" t="b">
        <v>0</v>
      </c>
      <c r="I30" s="80" t="b">
        <v>0</v>
      </c>
      <c r="J30" s="80" t="b">
        <v>0</v>
      </c>
      <c r="K30" s="80" t="b">
        <v>0</v>
      </c>
      <c r="L30" s="80" t="b">
        <v>0</v>
      </c>
    </row>
    <row r="31" spans="1:12" ht="15">
      <c r="A31" s="81" t="s">
        <v>2438</v>
      </c>
      <c r="B31" s="80" t="s">
        <v>2557</v>
      </c>
      <c r="C31" s="80">
        <v>3</v>
      </c>
      <c r="D31" s="109">
        <v>0.002044129410679361</v>
      </c>
      <c r="E31" s="109">
        <v>1.299717643543701</v>
      </c>
      <c r="F31" s="80" t="s">
        <v>2799</v>
      </c>
      <c r="G31" s="80" t="b">
        <v>0</v>
      </c>
      <c r="H31" s="80" t="b">
        <v>1</v>
      </c>
      <c r="I31" s="80" t="b">
        <v>0</v>
      </c>
      <c r="J31" s="80" t="b">
        <v>0</v>
      </c>
      <c r="K31" s="80" t="b">
        <v>0</v>
      </c>
      <c r="L31" s="80" t="b">
        <v>0</v>
      </c>
    </row>
    <row r="32" spans="1:12" ht="15">
      <c r="A32" s="81" t="s">
        <v>2508</v>
      </c>
      <c r="B32" s="80" t="s">
        <v>2593</v>
      </c>
      <c r="C32" s="80">
        <v>3</v>
      </c>
      <c r="D32" s="109">
        <v>0.002044129410679361</v>
      </c>
      <c r="E32" s="109">
        <v>2.762115641442657</v>
      </c>
      <c r="F32" s="80" t="s">
        <v>2799</v>
      </c>
      <c r="G32" s="80" t="b">
        <v>0</v>
      </c>
      <c r="H32" s="80" t="b">
        <v>0</v>
      </c>
      <c r="I32" s="80" t="b">
        <v>0</v>
      </c>
      <c r="J32" s="80" t="b">
        <v>1</v>
      </c>
      <c r="K32" s="80" t="b">
        <v>0</v>
      </c>
      <c r="L32" s="80" t="b">
        <v>0</v>
      </c>
    </row>
    <row r="33" spans="1:12" ht="15">
      <c r="A33" s="81" t="s">
        <v>2547</v>
      </c>
      <c r="B33" s="80" t="s">
        <v>2508</v>
      </c>
      <c r="C33" s="80">
        <v>3</v>
      </c>
      <c r="D33" s="109">
        <v>0.002044129410679361</v>
      </c>
      <c r="E33" s="109">
        <v>2.762115641442657</v>
      </c>
      <c r="F33" s="80" t="s">
        <v>2799</v>
      </c>
      <c r="G33" s="80" t="b">
        <v>0</v>
      </c>
      <c r="H33" s="80" t="b">
        <v>0</v>
      </c>
      <c r="I33" s="80" t="b">
        <v>0</v>
      </c>
      <c r="J33" s="80" t="b">
        <v>0</v>
      </c>
      <c r="K33" s="80" t="b">
        <v>0</v>
      </c>
      <c r="L33" s="80" t="b">
        <v>0</v>
      </c>
    </row>
    <row r="34" spans="1:12" ht="15">
      <c r="A34" s="81" t="s">
        <v>2493</v>
      </c>
      <c r="B34" s="80" t="s">
        <v>2482</v>
      </c>
      <c r="C34" s="80">
        <v>3</v>
      </c>
      <c r="D34" s="109">
        <v>0.002044129410679361</v>
      </c>
      <c r="E34" s="109">
        <v>2.5402668918263007</v>
      </c>
      <c r="F34" s="80" t="s">
        <v>2799</v>
      </c>
      <c r="G34" s="80" t="b">
        <v>0</v>
      </c>
      <c r="H34" s="80" t="b">
        <v>0</v>
      </c>
      <c r="I34" s="80" t="b">
        <v>0</v>
      </c>
      <c r="J34" s="80" t="b">
        <v>0</v>
      </c>
      <c r="K34" s="80" t="b">
        <v>1</v>
      </c>
      <c r="L34" s="80" t="b">
        <v>0</v>
      </c>
    </row>
    <row r="35" spans="1:12" ht="15">
      <c r="A35" s="81" t="s">
        <v>2438</v>
      </c>
      <c r="B35" s="80" t="s">
        <v>2489</v>
      </c>
      <c r="C35" s="80">
        <v>3</v>
      </c>
      <c r="D35" s="109">
        <v>0.002044129410679361</v>
      </c>
      <c r="E35" s="109">
        <v>1.0778688939273444</v>
      </c>
      <c r="F35" s="80" t="s">
        <v>2799</v>
      </c>
      <c r="G35" s="80" t="b">
        <v>0</v>
      </c>
      <c r="H35" s="80" t="b">
        <v>1</v>
      </c>
      <c r="I35" s="80" t="b">
        <v>0</v>
      </c>
      <c r="J35" s="80" t="b">
        <v>0</v>
      </c>
      <c r="K35" s="80" t="b">
        <v>0</v>
      </c>
      <c r="L35" s="80" t="b">
        <v>0</v>
      </c>
    </row>
    <row r="36" spans="1:12" ht="15">
      <c r="A36" s="81" t="s">
        <v>2482</v>
      </c>
      <c r="B36" s="80" t="s">
        <v>2450</v>
      </c>
      <c r="C36" s="80">
        <v>3</v>
      </c>
      <c r="D36" s="109">
        <v>0.002044129410679361</v>
      </c>
      <c r="E36" s="109">
        <v>2.2392368961623195</v>
      </c>
      <c r="F36" s="80" t="s">
        <v>2799</v>
      </c>
      <c r="G36" s="80" t="b">
        <v>0</v>
      </c>
      <c r="H36" s="80" t="b">
        <v>1</v>
      </c>
      <c r="I36" s="80" t="b">
        <v>0</v>
      </c>
      <c r="J36" s="80" t="b">
        <v>0</v>
      </c>
      <c r="K36" s="80" t="b">
        <v>0</v>
      </c>
      <c r="L36" s="80" t="b">
        <v>0</v>
      </c>
    </row>
    <row r="37" spans="1:12" ht="15">
      <c r="A37" s="81" t="s">
        <v>2703</v>
      </c>
      <c r="B37" s="80" t="s">
        <v>2439</v>
      </c>
      <c r="C37" s="80">
        <v>2</v>
      </c>
      <c r="D37" s="109">
        <v>0.0015062665990149948</v>
      </c>
      <c r="E37" s="109">
        <v>1.730707177191033</v>
      </c>
      <c r="F37" s="80" t="s">
        <v>2799</v>
      </c>
      <c r="G37" s="80" t="b">
        <v>0</v>
      </c>
      <c r="H37" s="80" t="b">
        <v>0</v>
      </c>
      <c r="I37" s="80" t="b">
        <v>0</v>
      </c>
      <c r="J37" s="80" t="b">
        <v>0</v>
      </c>
      <c r="K37" s="80" t="b">
        <v>1</v>
      </c>
      <c r="L37" s="80" t="b">
        <v>0</v>
      </c>
    </row>
    <row r="38" spans="1:12" ht="15">
      <c r="A38" s="81" t="s">
        <v>2441</v>
      </c>
      <c r="B38" s="80" t="s">
        <v>2468</v>
      </c>
      <c r="C38" s="80">
        <v>2</v>
      </c>
      <c r="D38" s="109">
        <v>0.0015062665990149948</v>
      </c>
      <c r="E38" s="109">
        <v>1.7109631189952756</v>
      </c>
      <c r="F38" s="80" t="s">
        <v>2799</v>
      </c>
      <c r="G38" s="80" t="b">
        <v>0</v>
      </c>
      <c r="H38" s="80" t="b">
        <v>0</v>
      </c>
      <c r="I38" s="80" t="b">
        <v>0</v>
      </c>
      <c r="J38" s="80" t="b">
        <v>0</v>
      </c>
      <c r="K38" s="80" t="b">
        <v>0</v>
      </c>
      <c r="L38" s="80" t="b">
        <v>0</v>
      </c>
    </row>
    <row r="39" spans="1:12" ht="15">
      <c r="A39" s="81" t="s">
        <v>2438</v>
      </c>
      <c r="B39" s="80" t="s">
        <v>2451</v>
      </c>
      <c r="C39" s="80">
        <v>2</v>
      </c>
      <c r="D39" s="109">
        <v>0.0015062665990149948</v>
      </c>
      <c r="E39" s="109">
        <v>0.6465051297683572</v>
      </c>
      <c r="F39" s="80" t="s">
        <v>2799</v>
      </c>
      <c r="G39" s="80" t="b">
        <v>0</v>
      </c>
      <c r="H39" s="80" t="b">
        <v>1</v>
      </c>
      <c r="I39" s="80" t="b">
        <v>0</v>
      </c>
      <c r="J39" s="80" t="b">
        <v>0</v>
      </c>
      <c r="K39" s="80" t="b">
        <v>0</v>
      </c>
      <c r="L39" s="80" t="b">
        <v>0</v>
      </c>
    </row>
    <row r="40" spans="1:12" ht="15">
      <c r="A40" s="81" t="s">
        <v>2675</v>
      </c>
      <c r="B40" s="80" t="s">
        <v>2747</v>
      </c>
      <c r="C40" s="80">
        <v>2</v>
      </c>
      <c r="D40" s="109">
        <v>0.0017516048187900405</v>
      </c>
      <c r="E40" s="109">
        <v>3.063145637106638</v>
      </c>
      <c r="F40" s="80" t="s">
        <v>2799</v>
      </c>
      <c r="G40" s="80" t="b">
        <v>0</v>
      </c>
      <c r="H40" s="80" t="b">
        <v>0</v>
      </c>
      <c r="I40" s="80" t="b">
        <v>0</v>
      </c>
      <c r="J40" s="80" t="b">
        <v>0</v>
      </c>
      <c r="K40" s="80" t="b">
        <v>0</v>
      </c>
      <c r="L40" s="80" t="b">
        <v>0</v>
      </c>
    </row>
    <row r="41" spans="1:12" ht="15">
      <c r="A41" s="81" t="s">
        <v>2445</v>
      </c>
      <c r="B41" s="80" t="s">
        <v>2703</v>
      </c>
      <c r="C41" s="80">
        <v>2</v>
      </c>
      <c r="D41" s="109">
        <v>0.0015062665990149948</v>
      </c>
      <c r="E41" s="109">
        <v>2.3227829476123945</v>
      </c>
      <c r="F41" s="80" t="s">
        <v>2799</v>
      </c>
      <c r="G41" s="80" t="b">
        <v>0</v>
      </c>
      <c r="H41" s="80" t="b">
        <v>0</v>
      </c>
      <c r="I41" s="80" t="b">
        <v>0</v>
      </c>
      <c r="J41" s="80" t="b">
        <v>0</v>
      </c>
      <c r="K41" s="80" t="b">
        <v>0</v>
      </c>
      <c r="L41" s="80" t="b">
        <v>0</v>
      </c>
    </row>
    <row r="42" spans="1:12" ht="15">
      <c r="A42" s="81" t="s">
        <v>2687</v>
      </c>
      <c r="B42" s="80" t="s">
        <v>2446</v>
      </c>
      <c r="C42" s="80">
        <v>2</v>
      </c>
      <c r="D42" s="109">
        <v>0.0015062665990149948</v>
      </c>
      <c r="E42" s="109">
        <v>2.3227829476123945</v>
      </c>
      <c r="F42" s="80" t="s">
        <v>2799</v>
      </c>
      <c r="G42" s="80" t="b">
        <v>0</v>
      </c>
      <c r="H42" s="80" t="b">
        <v>0</v>
      </c>
      <c r="I42" s="80" t="b">
        <v>0</v>
      </c>
      <c r="J42" s="80" t="b">
        <v>0</v>
      </c>
      <c r="K42" s="80" t="b">
        <v>0</v>
      </c>
      <c r="L42" s="80" t="b">
        <v>0</v>
      </c>
    </row>
    <row r="43" spans="1:12" ht="15">
      <c r="A43" s="81" t="s">
        <v>2589</v>
      </c>
      <c r="B43" s="80" t="s">
        <v>2692</v>
      </c>
      <c r="C43" s="80">
        <v>2</v>
      </c>
      <c r="D43" s="109">
        <v>0.0015062665990149948</v>
      </c>
      <c r="E43" s="109">
        <v>2.8870543780509568</v>
      </c>
      <c r="F43" s="80" t="s">
        <v>2799</v>
      </c>
      <c r="G43" s="80" t="b">
        <v>0</v>
      </c>
      <c r="H43" s="80" t="b">
        <v>0</v>
      </c>
      <c r="I43" s="80" t="b">
        <v>0</v>
      </c>
      <c r="J43" s="80" t="b">
        <v>0</v>
      </c>
      <c r="K43" s="80" t="b">
        <v>0</v>
      </c>
      <c r="L43" s="80" t="b">
        <v>0</v>
      </c>
    </row>
    <row r="44" spans="1:12" ht="15">
      <c r="A44" s="81" t="s">
        <v>2545</v>
      </c>
      <c r="B44" s="80" t="s">
        <v>2438</v>
      </c>
      <c r="C44" s="80">
        <v>2</v>
      </c>
      <c r="D44" s="109">
        <v>0.0015062665990149948</v>
      </c>
      <c r="E44" s="109">
        <v>1.0877138285973753</v>
      </c>
      <c r="F44" s="80" t="s">
        <v>2799</v>
      </c>
      <c r="G44" s="80" t="b">
        <v>0</v>
      </c>
      <c r="H44" s="80" t="b">
        <v>0</v>
      </c>
      <c r="I44" s="80" t="b">
        <v>0</v>
      </c>
      <c r="J44" s="80" t="b">
        <v>0</v>
      </c>
      <c r="K44" s="80" t="b">
        <v>1</v>
      </c>
      <c r="L44" s="80" t="b">
        <v>0</v>
      </c>
    </row>
    <row r="45" spans="1:12" ht="15">
      <c r="A45" s="81" t="s">
        <v>2660</v>
      </c>
      <c r="B45" s="80" t="s">
        <v>2452</v>
      </c>
      <c r="C45" s="80">
        <v>2</v>
      </c>
      <c r="D45" s="109">
        <v>0.0015062665990149948</v>
      </c>
      <c r="E45" s="109">
        <v>2.461085645778676</v>
      </c>
      <c r="F45" s="80" t="s">
        <v>2799</v>
      </c>
      <c r="G45" s="80" t="b">
        <v>0</v>
      </c>
      <c r="H45" s="80" t="b">
        <v>0</v>
      </c>
      <c r="I45" s="80" t="b">
        <v>0</v>
      </c>
      <c r="J45" s="80" t="b">
        <v>0</v>
      </c>
      <c r="K45" s="80" t="b">
        <v>0</v>
      </c>
      <c r="L45" s="80" t="b">
        <v>0</v>
      </c>
    </row>
    <row r="46" spans="1:12" ht="15">
      <c r="A46" s="81" t="s">
        <v>2592</v>
      </c>
      <c r="B46" s="80" t="s">
        <v>2502</v>
      </c>
      <c r="C46" s="80">
        <v>2</v>
      </c>
      <c r="D46" s="109">
        <v>0.0015062665990149948</v>
      </c>
      <c r="E46" s="109">
        <v>2.586024382386976</v>
      </c>
      <c r="F46" s="80" t="s">
        <v>2799</v>
      </c>
      <c r="G46" s="80" t="b">
        <v>0</v>
      </c>
      <c r="H46" s="80" t="b">
        <v>0</v>
      </c>
      <c r="I46" s="80" t="b">
        <v>0</v>
      </c>
      <c r="J46" s="80" t="b">
        <v>0</v>
      </c>
      <c r="K46" s="80" t="b">
        <v>0</v>
      </c>
      <c r="L46" s="80" t="b">
        <v>0</v>
      </c>
    </row>
    <row r="47" spans="1:12" ht="15">
      <c r="A47" s="81" t="s">
        <v>2497</v>
      </c>
      <c r="B47" s="80" t="s">
        <v>2680</v>
      </c>
      <c r="C47" s="80">
        <v>2</v>
      </c>
      <c r="D47" s="109">
        <v>0.0015062665990149948</v>
      </c>
      <c r="E47" s="109">
        <v>2.7621156414426573</v>
      </c>
      <c r="F47" s="80" t="s">
        <v>2799</v>
      </c>
      <c r="G47" s="80" t="b">
        <v>0</v>
      </c>
      <c r="H47" s="80" t="b">
        <v>0</v>
      </c>
      <c r="I47" s="80" t="b">
        <v>0</v>
      </c>
      <c r="J47" s="80" t="b">
        <v>0</v>
      </c>
      <c r="K47" s="80" t="b">
        <v>0</v>
      </c>
      <c r="L47" s="80" t="b">
        <v>0</v>
      </c>
    </row>
    <row r="48" spans="1:12" ht="15">
      <c r="A48" s="81" t="s">
        <v>2458</v>
      </c>
      <c r="B48" s="80" t="s">
        <v>2466</v>
      </c>
      <c r="C48" s="80">
        <v>2</v>
      </c>
      <c r="D48" s="109">
        <v>0.0015062665990149948</v>
      </c>
      <c r="E48" s="109">
        <v>2.0419563380367003</v>
      </c>
      <c r="F48" s="80" t="s">
        <v>2799</v>
      </c>
      <c r="G48" s="80" t="b">
        <v>1</v>
      </c>
      <c r="H48" s="80" t="b">
        <v>0</v>
      </c>
      <c r="I48" s="80" t="b">
        <v>0</v>
      </c>
      <c r="J48" s="80" t="b">
        <v>0</v>
      </c>
      <c r="K48" s="80" t="b">
        <v>0</v>
      </c>
      <c r="L48" s="80" t="b">
        <v>0</v>
      </c>
    </row>
    <row r="49" spans="1:12" ht="15">
      <c r="A49" s="81" t="s">
        <v>2454</v>
      </c>
      <c r="B49" s="80" t="s">
        <v>2521</v>
      </c>
      <c r="C49" s="80">
        <v>2</v>
      </c>
      <c r="D49" s="109">
        <v>0.0015062665990149948</v>
      </c>
      <c r="E49" s="109">
        <v>2.2849943867229947</v>
      </c>
      <c r="F49" s="80" t="s">
        <v>2799</v>
      </c>
      <c r="G49" s="80" t="b">
        <v>0</v>
      </c>
      <c r="H49" s="80" t="b">
        <v>0</v>
      </c>
      <c r="I49" s="80" t="b">
        <v>0</v>
      </c>
      <c r="J49" s="80" t="b">
        <v>0</v>
      </c>
      <c r="K49" s="80" t="b">
        <v>0</v>
      </c>
      <c r="L49" s="80" t="b">
        <v>0</v>
      </c>
    </row>
    <row r="50" spans="1:12" ht="15">
      <c r="A50" s="81" t="s">
        <v>2471</v>
      </c>
      <c r="B50" s="80" t="s">
        <v>2560</v>
      </c>
      <c r="C50" s="80">
        <v>2</v>
      </c>
      <c r="D50" s="109">
        <v>0.0015062665990149948</v>
      </c>
      <c r="E50" s="109">
        <v>2.4891143693789193</v>
      </c>
      <c r="F50" s="80" t="s">
        <v>2799</v>
      </c>
      <c r="G50" s="80" t="b">
        <v>0</v>
      </c>
      <c r="H50" s="80" t="b">
        <v>0</v>
      </c>
      <c r="I50" s="80" t="b">
        <v>0</v>
      </c>
      <c r="J50" s="80" t="b">
        <v>0</v>
      </c>
      <c r="K50" s="80" t="b">
        <v>0</v>
      </c>
      <c r="L50" s="80" t="b">
        <v>0</v>
      </c>
    </row>
    <row r="51" spans="1:12" ht="15">
      <c r="A51" s="81" t="s">
        <v>2524</v>
      </c>
      <c r="B51" s="80" t="s">
        <v>2609</v>
      </c>
      <c r="C51" s="80">
        <v>2</v>
      </c>
      <c r="D51" s="109">
        <v>0.0015062665990149948</v>
      </c>
      <c r="E51" s="109">
        <v>2.8870543780509568</v>
      </c>
      <c r="F51" s="80" t="s">
        <v>2799</v>
      </c>
      <c r="G51" s="80" t="b">
        <v>0</v>
      </c>
      <c r="H51" s="80" t="b">
        <v>0</v>
      </c>
      <c r="I51" s="80" t="b">
        <v>0</v>
      </c>
      <c r="J51" s="80" t="b">
        <v>0</v>
      </c>
      <c r="K51" s="80" t="b">
        <v>0</v>
      </c>
      <c r="L51" s="80" t="b">
        <v>0</v>
      </c>
    </row>
    <row r="52" spans="1:12" ht="15">
      <c r="A52" s="81" t="s">
        <v>2502</v>
      </c>
      <c r="B52" s="80" t="s">
        <v>2443</v>
      </c>
      <c r="C52" s="80">
        <v>2</v>
      </c>
      <c r="D52" s="109">
        <v>0.0015062665990149948</v>
      </c>
      <c r="E52" s="109">
        <v>1.9492022847998014</v>
      </c>
      <c r="F52" s="80" t="s">
        <v>2799</v>
      </c>
      <c r="G52" s="80" t="b">
        <v>0</v>
      </c>
      <c r="H52" s="80" t="b">
        <v>0</v>
      </c>
      <c r="I52" s="80" t="b">
        <v>0</v>
      </c>
      <c r="J52" s="80" t="b">
        <v>0</v>
      </c>
      <c r="K52" s="80" t="b">
        <v>0</v>
      </c>
      <c r="L52" s="80" t="b">
        <v>0</v>
      </c>
    </row>
    <row r="53" spans="1:12" ht="15">
      <c r="A53" s="81" t="s">
        <v>2631</v>
      </c>
      <c r="B53" s="80" t="s">
        <v>2438</v>
      </c>
      <c r="C53" s="80">
        <v>2</v>
      </c>
      <c r="D53" s="109">
        <v>0.0015062665990149948</v>
      </c>
      <c r="E53" s="109">
        <v>1.2638050876530564</v>
      </c>
      <c r="F53" s="80" t="s">
        <v>2799</v>
      </c>
      <c r="G53" s="80" t="b">
        <v>0</v>
      </c>
      <c r="H53" s="80" t="b">
        <v>0</v>
      </c>
      <c r="I53" s="80" t="b">
        <v>0</v>
      </c>
      <c r="J53" s="80" t="b">
        <v>0</v>
      </c>
      <c r="K53" s="80" t="b">
        <v>1</v>
      </c>
      <c r="L53" s="80" t="b">
        <v>0</v>
      </c>
    </row>
    <row r="54" spans="1:12" ht="15">
      <c r="A54" s="81" t="s">
        <v>2457</v>
      </c>
      <c r="B54" s="80" t="s">
        <v>2446</v>
      </c>
      <c r="C54" s="80">
        <v>2</v>
      </c>
      <c r="D54" s="109">
        <v>0.0015062665990149948</v>
      </c>
      <c r="E54" s="109">
        <v>1.7787149032621188</v>
      </c>
      <c r="F54" s="80" t="s">
        <v>2799</v>
      </c>
      <c r="G54" s="80" t="b">
        <v>0</v>
      </c>
      <c r="H54" s="80" t="b">
        <v>0</v>
      </c>
      <c r="I54" s="80" t="b">
        <v>0</v>
      </c>
      <c r="J54" s="80" t="b">
        <v>0</v>
      </c>
      <c r="K54" s="80" t="b">
        <v>0</v>
      </c>
      <c r="L54" s="80" t="b">
        <v>0</v>
      </c>
    </row>
    <row r="55" spans="1:12" ht="15">
      <c r="A55" s="81" t="s">
        <v>2459</v>
      </c>
      <c r="B55" s="80" t="s">
        <v>2438</v>
      </c>
      <c r="C55" s="80">
        <v>2</v>
      </c>
      <c r="D55" s="109">
        <v>0.0015062665990149948</v>
      </c>
      <c r="E55" s="109">
        <v>0.7866838329333941</v>
      </c>
      <c r="F55" s="80" t="s">
        <v>2799</v>
      </c>
      <c r="G55" s="80" t="b">
        <v>0</v>
      </c>
      <c r="H55" s="80" t="b">
        <v>0</v>
      </c>
      <c r="I55" s="80" t="b">
        <v>0</v>
      </c>
      <c r="J55" s="80" t="b">
        <v>0</v>
      </c>
      <c r="K55" s="80" t="b">
        <v>1</v>
      </c>
      <c r="L55" s="80" t="b">
        <v>0</v>
      </c>
    </row>
    <row r="56" spans="1:12" ht="15">
      <c r="A56" s="81" t="s">
        <v>2438</v>
      </c>
      <c r="B56" s="80" t="s">
        <v>2540</v>
      </c>
      <c r="C56" s="80">
        <v>2</v>
      </c>
      <c r="D56" s="109">
        <v>0.0015062665990149948</v>
      </c>
      <c r="E56" s="109">
        <v>1.1236263844880197</v>
      </c>
      <c r="F56" s="80" t="s">
        <v>2799</v>
      </c>
      <c r="G56" s="80" t="b">
        <v>0</v>
      </c>
      <c r="H56" s="80" t="b">
        <v>1</v>
      </c>
      <c r="I56" s="80" t="b">
        <v>0</v>
      </c>
      <c r="J56" s="80" t="b">
        <v>1</v>
      </c>
      <c r="K56" s="80" t="b">
        <v>0</v>
      </c>
      <c r="L56" s="80" t="b">
        <v>0</v>
      </c>
    </row>
    <row r="57" spans="1:12" ht="15">
      <c r="A57" s="81" t="s">
        <v>2438</v>
      </c>
      <c r="B57" s="80" t="s">
        <v>2667</v>
      </c>
      <c r="C57" s="80">
        <v>2</v>
      </c>
      <c r="D57" s="109">
        <v>0.0015062665990149948</v>
      </c>
      <c r="E57" s="109">
        <v>1.2997176435437008</v>
      </c>
      <c r="F57" s="80" t="s">
        <v>2799</v>
      </c>
      <c r="G57" s="80" t="b">
        <v>0</v>
      </c>
      <c r="H57" s="80" t="b">
        <v>1</v>
      </c>
      <c r="I57" s="80" t="b">
        <v>0</v>
      </c>
      <c r="J57" s="80" t="b">
        <v>0</v>
      </c>
      <c r="K57" s="80" t="b">
        <v>0</v>
      </c>
      <c r="L57" s="80" t="b">
        <v>0</v>
      </c>
    </row>
    <row r="58" spans="1:12" ht="15">
      <c r="A58" s="81" t="s">
        <v>2609</v>
      </c>
      <c r="B58" s="80" t="s">
        <v>2538</v>
      </c>
      <c r="C58" s="80">
        <v>2</v>
      </c>
      <c r="D58" s="109">
        <v>0.0015062665990149948</v>
      </c>
      <c r="E58" s="109">
        <v>2.8870543780509568</v>
      </c>
      <c r="F58" s="80" t="s">
        <v>2799</v>
      </c>
      <c r="G58" s="80" t="b">
        <v>0</v>
      </c>
      <c r="H58" s="80" t="b">
        <v>0</v>
      </c>
      <c r="I58" s="80" t="b">
        <v>0</v>
      </c>
      <c r="J58" s="80" t="b">
        <v>0</v>
      </c>
      <c r="K58" s="80" t="b">
        <v>0</v>
      </c>
      <c r="L58" s="80" t="b">
        <v>0</v>
      </c>
    </row>
    <row r="59" spans="1:12" ht="15">
      <c r="A59" s="81" t="s">
        <v>2446</v>
      </c>
      <c r="B59" s="80" t="s">
        <v>2443</v>
      </c>
      <c r="C59" s="80">
        <v>2</v>
      </c>
      <c r="D59" s="109">
        <v>0.0015062665990149948</v>
      </c>
      <c r="E59" s="109">
        <v>1.551262276127764</v>
      </c>
      <c r="F59" s="80" t="s">
        <v>2799</v>
      </c>
      <c r="G59" s="80" t="b">
        <v>0</v>
      </c>
      <c r="H59" s="80" t="b">
        <v>0</v>
      </c>
      <c r="I59" s="80" t="b">
        <v>0</v>
      </c>
      <c r="J59" s="80" t="b">
        <v>0</v>
      </c>
      <c r="K59" s="80" t="b">
        <v>0</v>
      </c>
      <c r="L59" s="80" t="b">
        <v>0</v>
      </c>
    </row>
    <row r="60" spans="1:12" ht="15">
      <c r="A60" s="81" t="s">
        <v>2558</v>
      </c>
      <c r="B60" s="80" t="s">
        <v>2576</v>
      </c>
      <c r="C60" s="80">
        <v>2</v>
      </c>
      <c r="D60" s="109">
        <v>0.0015062665990149948</v>
      </c>
      <c r="E60" s="109">
        <v>2.710963118995276</v>
      </c>
      <c r="F60" s="80" t="s">
        <v>2799</v>
      </c>
      <c r="G60" s="80" t="b">
        <v>0</v>
      </c>
      <c r="H60" s="80" t="b">
        <v>0</v>
      </c>
      <c r="I60" s="80" t="b">
        <v>0</v>
      </c>
      <c r="J60" s="80" t="b">
        <v>0</v>
      </c>
      <c r="K60" s="80" t="b">
        <v>0</v>
      </c>
      <c r="L60" s="80" t="b">
        <v>0</v>
      </c>
    </row>
    <row r="61" spans="1:12" ht="15">
      <c r="A61" s="81" t="s">
        <v>2475</v>
      </c>
      <c r="B61" s="80" t="s">
        <v>2786</v>
      </c>
      <c r="C61" s="80">
        <v>2</v>
      </c>
      <c r="D61" s="109">
        <v>0.0017516048187900405</v>
      </c>
      <c r="E61" s="109">
        <v>2.6652056284346006</v>
      </c>
      <c r="F61" s="80" t="s">
        <v>2799</v>
      </c>
      <c r="G61" s="80" t="b">
        <v>0</v>
      </c>
      <c r="H61" s="80" t="b">
        <v>0</v>
      </c>
      <c r="I61" s="80" t="b">
        <v>0</v>
      </c>
      <c r="J61" s="80" t="b">
        <v>0</v>
      </c>
      <c r="K61" s="80" t="b">
        <v>0</v>
      </c>
      <c r="L61" s="80" t="b">
        <v>0</v>
      </c>
    </row>
    <row r="62" spans="1:12" ht="15">
      <c r="A62" s="81" t="s">
        <v>363</v>
      </c>
      <c r="B62" s="80" t="s">
        <v>298</v>
      </c>
      <c r="C62" s="80">
        <v>2</v>
      </c>
      <c r="D62" s="109">
        <v>0.0015062665990149948</v>
      </c>
      <c r="E62" s="109">
        <v>3.063145637106638</v>
      </c>
      <c r="F62" s="80" t="s">
        <v>2799</v>
      </c>
      <c r="G62" s="80" t="b">
        <v>0</v>
      </c>
      <c r="H62" s="80" t="b">
        <v>0</v>
      </c>
      <c r="I62" s="80" t="b">
        <v>0</v>
      </c>
      <c r="J62" s="80" t="b">
        <v>0</v>
      </c>
      <c r="K62" s="80" t="b">
        <v>0</v>
      </c>
      <c r="L62" s="80" t="b">
        <v>0</v>
      </c>
    </row>
    <row r="63" spans="1:12" ht="15">
      <c r="A63" s="81" t="s">
        <v>2734</v>
      </c>
      <c r="B63" s="80" t="s">
        <v>2497</v>
      </c>
      <c r="C63" s="80">
        <v>2</v>
      </c>
      <c r="D63" s="109">
        <v>0.0015062665990149948</v>
      </c>
      <c r="E63" s="109">
        <v>2.7621156414426573</v>
      </c>
      <c r="F63" s="80" t="s">
        <v>2799</v>
      </c>
      <c r="G63" s="80" t="b">
        <v>0</v>
      </c>
      <c r="H63" s="80" t="b">
        <v>0</v>
      </c>
      <c r="I63" s="80" t="b">
        <v>0</v>
      </c>
      <c r="J63" s="80" t="b">
        <v>0</v>
      </c>
      <c r="K63" s="80" t="b">
        <v>0</v>
      </c>
      <c r="L63" s="80" t="b">
        <v>0</v>
      </c>
    </row>
    <row r="64" spans="1:12" ht="15">
      <c r="A64" s="81" t="s">
        <v>2584</v>
      </c>
      <c r="B64" s="80" t="s">
        <v>2484</v>
      </c>
      <c r="C64" s="80">
        <v>2</v>
      </c>
      <c r="D64" s="109">
        <v>0.0015062665990149948</v>
      </c>
      <c r="E64" s="109">
        <v>2.4891143693789193</v>
      </c>
      <c r="F64" s="80" t="s">
        <v>2799</v>
      </c>
      <c r="G64" s="80" t="b">
        <v>0</v>
      </c>
      <c r="H64" s="80" t="b">
        <v>0</v>
      </c>
      <c r="I64" s="80" t="b">
        <v>0</v>
      </c>
      <c r="J64" s="80" t="b">
        <v>0</v>
      </c>
      <c r="K64" s="80" t="b">
        <v>0</v>
      </c>
      <c r="L64" s="80" t="b">
        <v>0</v>
      </c>
    </row>
    <row r="65" spans="1:12" ht="15">
      <c r="A65" s="81" t="s">
        <v>2438</v>
      </c>
      <c r="B65" s="80" t="s">
        <v>2514</v>
      </c>
      <c r="C65" s="80">
        <v>2</v>
      </c>
      <c r="D65" s="109">
        <v>0.0015062665990149948</v>
      </c>
      <c r="E65" s="109">
        <v>0.9986876478797196</v>
      </c>
      <c r="F65" s="80" t="s">
        <v>2799</v>
      </c>
      <c r="G65" s="80" t="b">
        <v>0</v>
      </c>
      <c r="H65" s="80" t="b">
        <v>1</v>
      </c>
      <c r="I65" s="80" t="b">
        <v>0</v>
      </c>
      <c r="J65" s="80" t="b">
        <v>0</v>
      </c>
      <c r="K65" s="80" t="b">
        <v>0</v>
      </c>
      <c r="L65" s="80" t="b">
        <v>0</v>
      </c>
    </row>
    <row r="66" spans="1:12" ht="15">
      <c r="A66" s="81" t="s">
        <v>2684</v>
      </c>
      <c r="B66" s="80" t="s">
        <v>2492</v>
      </c>
      <c r="C66" s="80">
        <v>2</v>
      </c>
      <c r="D66" s="109">
        <v>0.0017516048187900405</v>
      </c>
      <c r="E66" s="109">
        <v>2.7621156414426573</v>
      </c>
      <c r="F66" s="80" t="s">
        <v>2799</v>
      </c>
      <c r="G66" s="80" t="b">
        <v>0</v>
      </c>
      <c r="H66" s="80" t="b">
        <v>0</v>
      </c>
      <c r="I66" s="80" t="b">
        <v>0</v>
      </c>
      <c r="J66" s="80" t="b">
        <v>0</v>
      </c>
      <c r="K66" s="80" t="b">
        <v>0</v>
      </c>
      <c r="L66" s="80" t="b">
        <v>0</v>
      </c>
    </row>
    <row r="67" spans="1:12" ht="15">
      <c r="A67" s="81" t="s">
        <v>2446</v>
      </c>
      <c r="B67" s="80" t="s">
        <v>2734</v>
      </c>
      <c r="C67" s="80">
        <v>2</v>
      </c>
      <c r="D67" s="109">
        <v>0.0015062665990149948</v>
      </c>
      <c r="E67" s="109">
        <v>2.3641756327706194</v>
      </c>
      <c r="F67" s="80" t="s">
        <v>2799</v>
      </c>
      <c r="G67" s="80" t="b">
        <v>0</v>
      </c>
      <c r="H67" s="80" t="b">
        <v>0</v>
      </c>
      <c r="I67" s="80" t="b">
        <v>0</v>
      </c>
      <c r="J67" s="80" t="b">
        <v>0</v>
      </c>
      <c r="K67" s="80" t="b">
        <v>0</v>
      </c>
      <c r="L67" s="80" t="b">
        <v>0</v>
      </c>
    </row>
    <row r="68" spans="1:12" ht="15">
      <c r="A68" s="81" t="s">
        <v>2438</v>
      </c>
      <c r="B68" s="80" t="s">
        <v>2470</v>
      </c>
      <c r="C68" s="80">
        <v>2</v>
      </c>
      <c r="D68" s="109">
        <v>0.0015062665990149948</v>
      </c>
      <c r="E68" s="109">
        <v>0.9017776348716633</v>
      </c>
      <c r="F68" s="80" t="s">
        <v>2799</v>
      </c>
      <c r="G68" s="80" t="b">
        <v>0</v>
      </c>
      <c r="H68" s="80" t="b">
        <v>1</v>
      </c>
      <c r="I68" s="80" t="b">
        <v>0</v>
      </c>
      <c r="J68" s="80" t="b">
        <v>0</v>
      </c>
      <c r="K68" s="80" t="b">
        <v>0</v>
      </c>
      <c r="L68" s="80" t="b">
        <v>0</v>
      </c>
    </row>
    <row r="69" spans="1:12" ht="15">
      <c r="A69" s="81" t="s">
        <v>2560</v>
      </c>
      <c r="B69" s="80" t="s">
        <v>2687</v>
      </c>
      <c r="C69" s="80">
        <v>2</v>
      </c>
      <c r="D69" s="109">
        <v>0.0015062665990149948</v>
      </c>
      <c r="E69" s="109">
        <v>2.8870543780509568</v>
      </c>
      <c r="F69" s="80" t="s">
        <v>2799</v>
      </c>
      <c r="G69" s="80" t="b">
        <v>0</v>
      </c>
      <c r="H69" s="80" t="b">
        <v>0</v>
      </c>
      <c r="I69" s="80" t="b">
        <v>0</v>
      </c>
      <c r="J69" s="80" t="b">
        <v>0</v>
      </c>
      <c r="K69" s="80" t="b">
        <v>0</v>
      </c>
      <c r="L69" s="80" t="b">
        <v>0</v>
      </c>
    </row>
    <row r="70" spans="1:12" ht="15">
      <c r="A70" s="81" t="s">
        <v>2509</v>
      </c>
      <c r="B70" s="80" t="s">
        <v>2483</v>
      </c>
      <c r="C70" s="80">
        <v>2</v>
      </c>
      <c r="D70" s="109">
        <v>0.0015062665990149948</v>
      </c>
      <c r="E70" s="109">
        <v>2.3641756327706194</v>
      </c>
      <c r="F70" s="80" t="s">
        <v>2799</v>
      </c>
      <c r="G70" s="80" t="b">
        <v>0</v>
      </c>
      <c r="H70" s="80" t="b">
        <v>0</v>
      </c>
      <c r="I70" s="80" t="b">
        <v>0</v>
      </c>
      <c r="J70" s="80" t="b">
        <v>0</v>
      </c>
      <c r="K70" s="80" t="b">
        <v>0</v>
      </c>
      <c r="L70" s="80" t="b">
        <v>0</v>
      </c>
    </row>
    <row r="71" spans="1:12" ht="15">
      <c r="A71" s="81" t="s">
        <v>2606</v>
      </c>
      <c r="B71" s="80" t="s">
        <v>2656</v>
      </c>
      <c r="C71" s="80">
        <v>2</v>
      </c>
      <c r="D71" s="109">
        <v>0.0017516048187900405</v>
      </c>
      <c r="E71" s="109">
        <v>3.063145637106638</v>
      </c>
      <c r="F71" s="80" t="s">
        <v>2799</v>
      </c>
      <c r="G71" s="80" t="b">
        <v>0</v>
      </c>
      <c r="H71" s="80" t="b">
        <v>0</v>
      </c>
      <c r="I71" s="80" t="b">
        <v>0</v>
      </c>
      <c r="J71" s="80" t="b">
        <v>0</v>
      </c>
      <c r="K71" s="80" t="b">
        <v>0</v>
      </c>
      <c r="L71" s="80" t="b">
        <v>0</v>
      </c>
    </row>
    <row r="72" spans="1:12" ht="15">
      <c r="A72" s="81" t="s">
        <v>2439</v>
      </c>
      <c r="B72" s="80" t="s">
        <v>2585</v>
      </c>
      <c r="C72" s="80">
        <v>2</v>
      </c>
      <c r="D72" s="109">
        <v>0.0015062665990149948</v>
      </c>
      <c r="E72" s="109">
        <v>1.5159865157792207</v>
      </c>
      <c r="F72" s="80" t="s">
        <v>2799</v>
      </c>
      <c r="G72" s="80" t="b">
        <v>0</v>
      </c>
      <c r="H72" s="80" t="b">
        <v>1</v>
      </c>
      <c r="I72" s="80" t="b">
        <v>0</v>
      </c>
      <c r="J72" s="80" t="b">
        <v>0</v>
      </c>
      <c r="K72" s="80" t="b">
        <v>0</v>
      </c>
      <c r="L72" s="80" t="b">
        <v>0</v>
      </c>
    </row>
    <row r="73" spans="1:12" ht="15">
      <c r="A73" s="81" t="s">
        <v>2468</v>
      </c>
      <c r="B73" s="80" t="s">
        <v>2536</v>
      </c>
      <c r="C73" s="80">
        <v>2</v>
      </c>
      <c r="D73" s="109">
        <v>0.0015062665990149948</v>
      </c>
      <c r="E73" s="109">
        <v>2.6652056284346006</v>
      </c>
      <c r="F73" s="80" t="s">
        <v>2799</v>
      </c>
      <c r="G73" s="80" t="b">
        <v>0</v>
      </c>
      <c r="H73" s="80" t="b">
        <v>0</v>
      </c>
      <c r="I73" s="80" t="b">
        <v>0</v>
      </c>
      <c r="J73" s="80" t="b">
        <v>0</v>
      </c>
      <c r="K73" s="80" t="b">
        <v>0</v>
      </c>
      <c r="L73" s="80" t="b">
        <v>0</v>
      </c>
    </row>
    <row r="74" spans="1:12" ht="15">
      <c r="A74" s="81" t="s">
        <v>2455</v>
      </c>
      <c r="B74" s="80" t="s">
        <v>2442</v>
      </c>
      <c r="C74" s="80">
        <v>2</v>
      </c>
      <c r="D74" s="109">
        <v>0.0015062665990149948</v>
      </c>
      <c r="E74" s="109">
        <v>1.706164236113507</v>
      </c>
      <c r="F74" s="80" t="s">
        <v>2799</v>
      </c>
      <c r="G74" s="80" t="b">
        <v>1</v>
      </c>
      <c r="H74" s="80" t="b">
        <v>0</v>
      </c>
      <c r="I74" s="80" t="b">
        <v>0</v>
      </c>
      <c r="J74" s="80" t="b">
        <v>0</v>
      </c>
      <c r="K74" s="80" t="b">
        <v>0</v>
      </c>
      <c r="L74" s="80" t="b">
        <v>0</v>
      </c>
    </row>
    <row r="75" spans="1:12" ht="15">
      <c r="A75" s="81" t="s">
        <v>2585</v>
      </c>
      <c r="B75" s="80" t="s">
        <v>2599</v>
      </c>
      <c r="C75" s="80">
        <v>2</v>
      </c>
      <c r="D75" s="109">
        <v>0.0015062665990149948</v>
      </c>
      <c r="E75" s="109">
        <v>2.8870543780509568</v>
      </c>
      <c r="F75" s="80" t="s">
        <v>2799</v>
      </c>
      <c r="G75" s="80" t="b">
        <v>0</v>
      </c>
      <c r="H75" s="80" t="b">
        <v>0</v>
      </c>
      <c r="I75" s="80" t="b">
        <v>0</v>
      </c>
      <c r="J75" s="80" t="b">
        <v>0</v>
      </c>
      <c r="K75" s="80" t="b">
        <v>1</v>
      </c>
      <c r="L75" s="80" t="b">
        <v>0</v>
      </c>
    </row>
    <row r="76" spans="1:12" ht="15">
      <c r="A76" s="81" t="s">
        <v>2562</v>
      </c>
      <c r="B76" s="80" t="s">
        <v>2441</v>
      </c>
      <c r="C76" s="80">
        <v>2</v>
      </c>
      <c r="D76" s="109">
        <v>0.0015062665990149948</v>
      </c>
      <c r="E76" s="109">
        <v>2.0119931146592567</v>
      </c>
      <c r="F76" s="80" t="s">
        <v>2799</v>
      </c>
      <c r="G76" s="80" t="b">
        <v>0</v>
      </c>
      <c r="H76" s="80" t="b">
        <v>0</v>
      </c>
      <c r="I76" s="80" t="b">
        <v>0</v>
      </c>
      <c r="J76" s="80" t="b">
        <v>0</v>
      </c>
      <c r="K76" s="80" t="b">
        <v>0</v>
      </c>
      <c r="L76" s="80" t="b">
        <v>0</v>
      </c>
    </row>
    <row r="77" spans="1:12" ht="15">
      <c r="A77" s="81" t="s">
        <v>298</v>
      </c>
      <c r="B77" s="80" t="s">
        <v>350</v>
      </c>
      <c r="C77" s="80">
        <v>2</v>
      </c>
      <c r="D77" s="109">
        <v>0.0015062665990149948</v>
      </c>
      <c r="E77" s="109">
        <v>3.063145637106638</v>
      </c>
      <c r="F77" s="80" t="s">
        <v>2799</v>
      </c>
      <c r="G77" s="80" t="b">
        <v>0</v>
      </c>
      <c r="H77" s="80" t="b">
        <v>0</v>
      </c>
      <c r="I77" s="80" t="b">
        <v>0</v>
      </c>
      <c r="J77" s="80" t="b">
        <v>0</v>
      </c>
      <c r="K77" s="80" t="b">
        <v>0</v>
      </c>
      <c r="L77" s="80" t="b">
        <v>0</v>
      </c>
    </row>
    <row r="78" spans="1:12" ht="15">
      <c r="A78" s="81" t="s">
        <v>2440</v>
      </c>
      <c r="B78" s="80" t="s">
        <v>2600</v>
      </c>
      <c r="C78" s="80">
        <v>2</v>
      </c>
      <c r="D78" s="109">
        <v>0.0017516048187900405</v>
      </c>
      <c r="E78" s="109">
        <v>2.188084373714938</v>
      </c>
      <c r="F78" s="80" t="s">
        <v>2799</v>
      </c>
      <c r="G78" s="80" t="b">
        <v>0</v>
      </c>
      <c r="H78" s="80" t="b">
        <v>0</v>
      </c>
      <c r="I78" s="80" t="b">
        <v>0</v>
      </c>
      <c r="J78" s="80" t="b">
        <v>0</v>
      </c>
      <c r="K78" s="80" t="b">
        <v>0</v>
      </c>
      <c r="L78" s="80" t="b">
        <v>0</v>
      </c>
    </row>
    <row r="79" spans="1:12" ht="15">
      <c r="A79" s="81" t="s">
        <v>2618</v>
      </c>
      <c r="B79" s="80" t="s">
        <v>2449</v>
      </c>
      <c r="C79" s="80">
        <v>2</v>
      </c>
      <c r="D79" s="109">
        <v>0.0017516048187900405</v>
      </c>
      <c r="E79" s="109">
        <v>2.461085645778676</v>
      </c>
      <c r="F79" s="80" t="s">
        <v>2799</v>
      </c>
      <c r="G79" s="80" t="b">
        <v>0</v>
      </c>
      <c r="H79" s="80" t="b">
        <v>1</v>
      </c>
      <c r="I79" s="80" t="b">
        <v>0</v>
      </c>
      <c r="J79" s="80" t="b">
        <v>0</v>
      </c>
      <c r="K79" s="80" t="b">
        <v>0</v>
      </c>
      <c r="L79" s="80" t="b">
        <v>0</v>
      </c>
    </row>
    <row r="80" spans="1:12" ht="15">
      <c r="A80" s="81" t="s">
        <v>2443</v>
      </c>
      <c r="B80" s="80" t="s">
        <v>2471</v>
      </c>
      <c r="C80" s="80">
        <v>2</v>
      </c>
      <c r="D80" s="109">
        <v>0.0015062665990149948</v>
      </c>
      <c r="E80" s="109">
        <v>1.852292271791745</v>
      </c>
      <c r="F80" s="80" t="s">
        <v>2799</v>
      </c>
      <c r="G80" s="80" t="b">
        <v>0</v>
      </c>
      <c r="H80" s="80" t="b">
        <v>0</v>
      </c>
      <c r="I80" s="80" t="b">
        <v>0</v>
      </c>
      <c r="J80" s="80" t="b">
        <v>0</v>
      </c>
      <c r="K80" s="80" t="b">
        <v>0</v>
      </c>
      <c r="L80" s="80" t="b">
        <v>0</v>
      </c>
    </row>
    <row r="81" spans="1:12" ht="15">
      <c r="A81" s="81" t="s">
        <v>2438</v>
      </c>
      <c r="B81" s="80" t="s">
        <v>2592</v>
      </c>
      <c r="C81" s="80">
        <v>2</v>
      </c>
      <c r="D81" s="109">
        <v>0.0015062665990149948</v>
      </c>
      <c r="E81" s="109">
        <v>1.1236263844880197</v>
      </c>
      <c r="F81" s="80" t="s">
        <v>2799</v>
      </c>
      <c r="G81" s="80" t="b">
        <v>0</v>
      </c>
      <c r="H81" s="80" t="b">
        <v>1</v>
      </c>
      <c r="I81" s="80" t="b">
        <v>0</v>
      </c>
      <c r="J81" s="80" t="b">
        <v>0</v>
      </c>
      <c r="K81" s="80" t="b">
        <v>0</v>
      </c>
      <c r="L81" s="80" t="b">
        <v>0</v>
      </c>
    </row>
    <row r="82" spans="1:12" ht="15">
      <c r="A82" s="81" t="s">
        <v>2445</v>
      </c>
      <c r="B82" s="80" t="s">
        <v>2441</v>
      </c>
      <c r="C82" s="80">
        <v>2</v>
      </c>
      <c r="D82" s="109">
        <v>0.0015062665990149948</v>
      </c>
      <c r="E82" s="109">
        <v>1.4477216842206944</v>
      </c>
      <c r="F82" s="80" t="s">
        <v>2799</v>
      </c>
      <c r="G82" s="80" t="b">
        <v>0</v>
      </c>
      <c r="H82" s="80" t="b">
        <v>0</v>
      </c>
      <c r="I82" s="80" t="b">
        <v>0</v>
      </c>
      <c r="J82" s="80" t="b">
        <v>0</v>
      </c>
      <c r="K82" s="80" t="b">
        <v>0</v>
      </c>
      <c r="L82" s="80" t="b">
        <v>0</v>
      </c>
    </row>
    <row r="83" spans="1:12" ht="15">
      <c r="A83" s="81" t="s">
        <v>2439</v>
      </c>
      <c r="B83" s="80" t="s">
        <v>2438</v>
      </c>
      <c r="C83" s="80">
        <v>20</v>
      </c>
      <c r="D83" s="109">
        <v>0.008912559247067168</v>
      </c>
      <c r="E83" s="109">
        <v>1.1927787831418635</v>
      </c>
      <c r="F83" s="80" t="s">
        <v>2349</v>
      </c>
      <c r="G83" s="80" t="b">
        <v>0</v>
      </c>
      <c r="H83" s="80" t="b">
        <v>1</v>
      </c>
      <c r="I83" s="80" t="b">
        <v>0</v>
      </c>
      <c r="J83" s="80" t="b">
        <v>0</v>
      </c>
      <c r="K83" s="80" t="b">
        <v>1</v>
      </c>
      <c r="L83" s="80" t="b">
        <v>0</v>
      </c>
    </row>
    <row r="84" spans="1:12" ht="15">
      <c r="A84" s="81" t="s">
        <v>2441</v>
      </c>
      <c r="B84" s="80" t="s">
        <v>2496</v>
      </c>
      <c r="C84" s="80">
        <v>4</v>
      </c>
      <c r="D84" s="109">
        <v>0.005530340290893427</v>
      </c>
      <c r="E84" s="109">
        <v>1.892712815580499</v>
      </c>
      <c r="F84" s="80" t="s">
        <v>2349</v>
      </c>
      <c r="G84" s="80" t="b">
        <v>0</v>
      </c>
      <c r="H84" s="80" t="b">
        <v>0</v>
      </c>
      <c r="I84" s="80" t="b">
        <v>0</v>
      </c>
      <c r="J84" s="80" t="b">
        <v>0</v>
      </c>
      <c r="K84" s="80" t="b">
        <v>0</v>
      </c>
      <c r="L84" s="80" t="b">
        <v>0</v>
      </c>
    </row>
    <row r="85" spans="1:12" ht="15">
      <c r="A85" s="81" t="s">
        <v>2496</v>
      </c>
      <c r="B85" s="80" t="s">
        <v>2460</v>
      </c>
      <c r="C85" s="80">
        <v>4</v>
      </c>
      <c r="D85" s="109">
        <v>0.005530340290893427</v>
      </c>
      <c r="E85" s="109">
        <v>2.244895333691862</v>
      </c>
      <c r="F85" s="80" t="s">
        <v>2349</v>
      </c>
      <c r="G85" s="80" t="b">
        <v>0</v>
      </c>
      <c r="H85" s="80" t="b">
        <v>0</v>
      </c>
      <c r="I85" s="80" t="b">
        <v>0</v>
      </c>
      <c r="J85" s="80" t="b">
        <v>0</v>
      </c>
      <c r="K85" s="80" t="b">
        <v>0</v>
      </c>
      <c r="L85" s="80" t="b">
        <v>0</v>
      </c>
    </row>
    <row r="86" spans="1:12" ht="15">
      <c r="A86" s="81" t="s">
        <v>2438</v>
      </c>
      <c r="B86" s="80" t="s">
        <v>2441</v>
      </c>
      <c r="C86" s="80">
        <v>4</v>
      </c>
      <c r="D86" s="109">
        <v>0.005530340290893427</v>
      </c>
      <c r="E86" s="109">
        <v>0.9438653380278803</v>
      </c>
      <c r="F86" s="80" t="s">
        <v>2349</v>
      </c>
      <c r="G86" s="80" t="b">
        <v>0</v>
      </c>
      <c r="H86" s="80" t="b">
        <v>1</v>
      </c>
      <c r="I86" s="80" t="b">
        <v>0</v>
      </c>
      <c r="J86" s="80" t="b">
        <v>0</v>
      </c>
      <c r="K86" s="80" t="b">
        <v>0</v>
      </c>
      <c r="L86" s="80" t="b">
        <v>0</v>
      </c>
    </row>
    <row r="87" spans="1:12" ht="15">
      <c r="A87" s="81" t="s">
        <v>2460</v>
      </c>
      <c r="B87" s="80" t="s">
        <v>2443</v>
      </c>
      <c r="C87" s="80">
        <v>4</v>
      </c>
      <c r="D87" s="109">
        <v>0.005530340290893427</v>
      </c>
      <c r="E87" s="109">
        <v>1.805562639861599</v>
      </c>
      <c r="F87" s="80" t="s">
        <v>2349</v>
      </c>
      <c r="G87" s="80" t="b">
        <v>0</v>
      </c>
      <c r="H87" s="80" t="b">
        <v>0</v>
      </c>
      <c r="I87" s="80" t="b">
        <v>0</v>
      </c>
      <c r="J87" s="80" t="b">
        <v>0</v>
      </c>
      <c r="K87" s="80" t="b">
        <v>0</v>
      </c>
      <c r="L87" s="80" t="b">
        <v>0</v>
      </c>
    </row>
    <row r="88" spans="1:12" ht="15">
      <c r="A88" s="81" t="s">
        <v>2512</v>
      </c>
      <c r="B88" s="80" t="s">
        <v>2539</v>
      </c>
      <c r="C88" s="80">
        <v>3</v>
      </c>
      <c r="D88" s="109">
        <v>0.004650189815790579</v>
      </c>
      <c r="E88" s="109">
        <v>2.3698340703001617</v>
      </c>
      <c r="F88" s="80" t="s">
        <v>2349</v>
      </c>
      <c r="G88" s="80" t="b">
        <v>0</v>
      </c>
      <c r="H88" s="80" t="b">
        <v>0</v>
      </c>
      <c r="I88" s="80" t="b">
        <v>0</v>
      </c>
      <c r="J88" s="80" t="b">
        <v>0</v>
      </c>
      <c r="K88" s="80" t="b">
        <v>0</v>
      </c>
      <c r="L88" s="80" t="b">
        <v>0</v>
      </c>
    </row>
    <row r="89" spans="1:12" ht="15">
      <c r="A89" s="81" t="s">
        <v>2547</v>
      </c>
      <c r="B89" s="80" t="s">
        <v>2508</v>
      </c>
      <c r="C89" s="80">
        <v>3</v>
      </c>
      <c r="D89" s="109">
        <v>0.004650189815790579</v>
      </c>
      <c r="E89" s="109">
        <v>2.244895333691862</v>
      </c>
      <c r="F89" s="80" t="s">
        <v>2349</v>
      </c>
      <c r="G89" s="80" t="b">
        <v>0</v>
      </c>
      <c r="H89" s="80" t="b">
        <v>0</v>
      </c>
      <c r="I89" s="80" t="b">
        <v>0</v>
      </c>
      <c r="J89" s="80" t="b">
        <v>0</v>
      </c>
      <c r="K89" s="80" t="b">
        <v>0</v>
      </c>
      <c r="L89" s="80" t="b">
        <v>0</v>
      </c>
    </row>
    <row r="90" spans="1:12" ht="15">
      <c r="A90" s="81" t="s">
        <v>2481</v>
      </c>
      <c r="B90" s="80" t="s">
        <v>2439</v>
      </c>
      <c r="C90" s="80">
        <v>3</v>
      </c>
      <c r="D90" s="109">
        <v>0.004650189815790579</v>
      </c>
      <c r="E90" s="109">
        <v>1.5916828199165178</v>
      </c>
      <c r="F90" s="80" t="s">
        <v>2349</v>
      </c>
      <c r="G90" s="80" t="b">
        <v>0</v>
      </c>
      <c r="H90" s="80" t="b">
        <v>0</v>
      </c>
      <c r="I90" s="80" t="b">
        <v>0</v>
      </c>
      <c r="J90" s="80" t="b">
        <v>0</v>
      </c>
      <c r="K90" s="80" t="b">
        <v>1</v>
      </c>
      <c r="L90" s="80" t="b">
        <v>0</v>
      </c>
    </row>
    <row r="91" spans="1:12" ht="15">
      <c r="A91" s="81" t="s">
        <v>2443</v>
      </c>
      <c r="B91" s="80" t="s">
        <v>2445</v>
      </c>
      <c r="C91" s="80">
        <v>3</v>
      </c>
      <c r="D91" s="109">
        <v>0.004650189815790579</v>
      </c>
      <c r="E91" s="109">
        <v>1.680623903253299</v>
      </c>
      <c r="F91" s="80" t="s">
        <v>2349</v>
      </c>
      <c r="G91" s="80" t="b">
        <v>0</v>
      </c>
      <c r="H91" s="80" t="b">
        <v>0</v>
      </c>
      <c r="I91" s="80" t="b">
        <v>0</v>
      </c>
      <c r="J91" s="80" t="b">
        <v>0</v>
      </c>
      <c r="K91" s="80" t="b">
        <v>0</v>
      </c>
      <c r="L91" s="80" t="b">
        <v>0</v>
      </c>
    </row>
    <row r="92" spans="1:12" ht="15">
      <c r="A92" s="81" t="s">
        <v>2565</v>
      </c>
      <c r="B92" s="80" t="s">
        <v>2550</v>
      </c>
      <c r="C92" s="80">
        <v>3</v>
      </c>
      <c r="D92" s="109">
        <v>0.004650189815790579</v>
      </c>
      <c r="E92" s="109">
        <v>2.3698340703001617</v>
      </c>
      <c r="F92" s="80" t="s">
        <v>2349</v>
      </c>
      <c r="G92" s="80" t="b">
        <v>0</v>
      </c>
      <c r="H92" s="80" t="b">
        <v>0</v>
      </c>
      <c r="I92" s="80" t="b">
        <v>0</v>
      </c>
      <c r="J92" s="80" t="b">
        <v>0</v>
      </c>
      <c r="K92" s="80" t="b">
        <v>0</v>
      </c>
      <c r="L92" s="80" t="b">
        <v>0</v>
      </c>
    </row>
    <row r="93" spans="1:12" ht="15">
      <c r="A93" s="81" t="s">
        <v>2450</v>
      </c>
      <c r="B93" s="80" t="s">
        <v>2512</v>
      </c>
      <c r="C93" s="80">
        <v>3</v>
      </c>
      <c r="D93" s="109">
        <v>0.004650189815790579</v>
      </c>
      <c r="E93" s="109">
        <v>2.3698340703001617</v>
      </c>
      <c r="F93" s="80" t="s">
        <v>2349</v>
      </c>
      <c r="G93" s="80" t="b">
        <v>0</v>
      </c>
      <c r="H93" s="80" t="b">
        <v>0</v>
      </c>
      <c r="I93" s="80" t="b">
        <v>0</v>
      </c>
      <c r="J93" s="80" t="b">
        <v>0</v>
      </c>
      <c r="K93" s="80" t="b">
        <v>0</v>
      </c>
      <c r="L93" s="80" t="b">
        <v>0</v>
      </c>
    </row>
    <row r="94" spans="1:12" ht="15">
      <c r="A94" s="81" t="s">
        <v>2493</v>
      </c>
      <c r="B94" s="80" t="s">
        <v>2482</v>
      </c>
      <c r="C94" s="80">
        <v>3</v>
      </c>
      <c r="D94" s="109">
        <v>0.004650189815790579</v>
      </c>
      <c r="E94" s="109">
        <v>2.3698340703001617</v>
      </c>
      <c r="F94" s="80" t="s">
        <v>2349</v>
      </c>
      <c r="G94" s="80" t="b">
        <v>0</v>
      </c>
      <c r="H94" s="80" t="b">
        <v>0</v>
      </c>
      <c r="I94" s="80" t="b">
        <v>0</v>
      </c>
      <c r="J94" s="80" t="b">
        <v>0</v>
      </c>
      <c r="K94" s="80" t="b">
        <v>1</v>
      </c>
      <c r="L94" s="80" t="b">
        <v>0</v>
      </c>
    </row>
    <row r="95" spans="1:12" ht="15">
      <c r="A95" s="81" t="s">
        <v>2578</v>
      </c>
      <c r="B95" s="80" t="s">
        <v>2541</v>
      </c>
      <c r="C95" s="80">
        <v>3</v>
      </c>
      <c r="D95" s="109">
        <v>0.004650189815790579</v>
      </c>
      <c r="E95" s="109">
        <v>2.3698340703001617</v>
      </c>
      <c r="F95" s="80" t="s">
        <v>2349</v>
      </c>
      <c r="G95" s="80" t="b">
        <v>0</v>
      </c>
      <c r="H95" s="80" t="b">
        <v>0</v>
      </c>
      <c r="I95" s="80" t="b">
        <v>0</v>
      </c>
      <c r="J95" s="80" t="b">
        <v>0</v>
      </c>
      <c r="K95" s="80" t="b">
        <v>0</v>
      </c>
      <c r="L95" s="80" t="b">
        <v>0</v>
      </c>
    </row>
    <row r="96" spans="1:12" ht="15">
      <c r="A96" s="81" t="s">
        <v>2441</v>
      </c>
      <c r="B96" s="80" t="s">
        <v>2439</v>
      </c>
      <c r="C96" s="80">
        <v>3</v>
      </c>
      <c r="D96" s="109">
        <v>0.004650189815790579</v>
      </c>
      <c r="E96" s="109">
        <v>1.1145615651968555</v>
      </c>
      <c r="F96" s="80" t="s">
        <v>2349</v>
      </c>
      <c r="G96" s="80" t="b">
        <v>0</v>
      </c>
      <c r="H96" s="80" t="b">
        <v>0</v>
      </c>
      <c r="I96" s="80" t="b">
        <v>0</v>
      </c>
      <c r="J96" s="80" t="b">
        <v>0</v>
      </c>
      <c r="K96" s="80" t="b">
        <v>1</v>
      </c>
      <c r="L96" s="80" t="b">
        <v>0</v>
      </c>
    </row>
    <row r="97" spans="1:12" ht="15">
      <c r="A97" s="81" t="s">
        <v>2508</v>
      </c>
      <c r="B97" s="80" t="s">
        <v>2593</v>
      </c>
      <c r="C97" s="80">
        <v>3</v>
      </c>
      <c r="D97" s="109">
        <v>0.004650189815790579</v>
      </c>
      <c r="E97" s="109">
        <v>2.244895333691862</v>
      </c>
      <c r="F97" s="80" t="s">
        <v>2349</v>
      </c>
      <c r="G97" s="80" t="b">
        <v>0</v>
      </c>
      <c r="H97" s="80" t="b">
        <v>0</v>
      </c>
      <c r="I97" s="80" t="b">
        <v>0</v>
      </c>
      <c r="J97" s="80" t="b">
        <v>1</v>
      </c>
      <c r="K97" s="80" t="b">
        <v>0</v>
      </c>
      <c r="L97" s="80" t="b">
        <v>0</v>
      </c>
    </row>
    <row r="98" spans="1:12" ht="15">
      <c r="A98" s="81" t="s">
        <v>2539</v>
      </c>
      <c r="B98" s="80" t="s">
        <v>2565</v>
      </c>
      <c r="C98" s="80">
        <v>3</v>
      </c>
      <c r="D98" s="109">
        <v>0.004650189815790579</v>
      </c>
      <c r="E98" s="109">
        <v>2.3698340703001617</v>
      </c>
      <c r="F98" s="80" t="s">
        <v>2349</v>
      </c>
      <c r="G98" s="80" t="b">
        <v>0</v>
      </c>
      <c r="H98" s="80" t="b">
        <v>0</v>
      </c>
      <c r="I98" s="80" t="b">
        <v>0</v>
      </c>
      <c r="J98" s="80" t="b">
        <v>0</v>
      </c>
      <c r="K98" s="80" t="b">
        <v>0</v>
      </c>
      <c r="L98" s="80" t="b">
        <v>0</v>
      </c>
    </row>
    <row r="99" spans="1:12" ht="15">
      <c r="A99" s="81" t="s">
        <v>2563</v>
      </c>
      <c r="B99" s="80" t="s">
        <v>2516</v>
      </c>
      <c r="C99" s="80">
        <v>3</v>
      </c>
      <c r="D99" s="109">
        <v>0.004650189815790579</v>
      </c>
      <c r="E99" s="109">
        <v>2.3698340703001617</v>
      </c>
      <c r="F99" s="80" t="s">
        <v>2349</v>
      </c>
      <c r="G99" s="80" t="b">
        <v>0</v>
      </c>
      <c r="H99" s="80" t="b">
        <v>0</v>
      </c>
      <c r="I99" s="80" t="b">
        <v>0</v>
      </c>
      <c r="J99" s="80" t="b">
        <v>0</v>
      </c>
      <c r="K99" s="80" t="b">
        <v>0</v>
      </c>
      <c r="L99" s="80" t="b">
        <v>0</v>
      </c>
    </row>
    <row r="100" spans="1:12" ht="15">
      <c r="A100" s="81" t="s">
        <v>2438</v>
      </c>
      <c r="B100" s="80" t="s">
        <v>2547</v>
      </c>
      <c r="C100" s="80">
        <v>3</v>
      </c>
      <c r="D100" s="109">
        <v>0.004650189815790579</v>
      </c>
      <c r="E100" s="109">
        <v>1.2448953336918616</v>
      </c>
      <c r="F100" s="80" t="s">
        <v>2349</v>
      </c>
      <c r="G100" s="80" t="b">
        <v>0</v>
      </c>
      <c r="H100" s="80" t="b">
        <v>1</v>
      </c>
      <c r="I100" s="80" t="b">
        <v>0</v>
      </c>
      <c r="J100" s="80" t="b">
        <v>0</v>
      </c>
      <c r="K100" s="80" t="b">
        <v>0</v>
      </c>
      <c r="L100" s="80" t="b">
        <v>0</v>
      </c>
    </row>
    <row r="101" spans="1:12" ht="15">
      <c r="A101" s="81" t="s">
        <v>2593</v>
      </c>
      <c r="B101" s="80" t="s">
        <v>2578</v>
      </c>
      <c r="C101" s="80">
        <v>3</v>
      </c>
      <c r="D101" s="109">
        <v>0.004650189815790579</v>
      </c>
      <c r="E101" s="109">
        <v>2.3698340703001617</v>
      </c>
      <c r="F101" s="80" t="s">
        <v>2349</v>
      </c>
      <c r="G101" s="80" t="b">
        <v>1</v>
      </c>
      <c r="H101" s="80" t="b">
        <v>0</v>
      </c>
      <c r="I101" s="80" t="b">
        <v>0</v>
      </c>
      <c r="J101" s="80" t="b">
        <v>0</v>
      </c>
      <c r="K101" s="80" t="b">
        <v>0</v>
      </c>
      <c r="L101" s="80" t="b">
        <v>0</v>
      </c>
    </row>
    <row r="102" spans="1:12" ht="15">
      <c r="A102" s="81" t="s">
        <v>2541</v>
      </c>
      <c r="B102" s="80" t="s">
        <v>2532</v>
      </c>
      <c r="C102" s="80">
        <v>3</v>
      </c>
      <c r="D102" s="109">
        <v>0.004650189815790579</v>
      </c>
      <c r="E102" s="109">
        <v>2.3698340703001617</v>
      </c>
      <c r="F102" s="80" t="s">
        <v>2349</v>
      </c>
      <c r="G102" s="80" t="b">
        <v>0</v>
      </c>
      <c r="H102" s="80" t="b">
        <v>0</v>
      </c>
      <c r="I102" s="80" t="b">
        <v>0</v>
      </c>
      <c r="J102" s="80" t="b">
        <v>0</v>
      </c>
      <c r="K102" s="80" t="b">
        <v>0</v>
      </c>
      <c r="L102" s="80" t="b">
        <v>0</v>
      </c>
    </row>
    <row r="103" spans="1:12" ht="15">
      <c r="A103" s="81" t="s">
        <v>2482</v>
      </c>
      <c r="B103" s="80" t="s">
        <v>2450</v>
      </c>
      <c r="C103" s="80">
        <v>3</v>
      </c>
      <c r="D103" s="109">
        <v>0.004650189815790579</v>
      </c>
      <c r="E103" s="109">
        <v>2.3698340703001617</v>
      </c>
      <c r="F103" s="80" t="s">
        <v>2349</v>
      </c>
      <c r="G103" s="80" t="b">
        <v>0</v>
      </c>
      <c r="H103" s="80" t="b">
        <v>1</v>
      </c>
      <c r="I103" s="80" t="b">
        <v>0</v>
      </c>
      <c r="J103" s="80" t="b">
        <v>0</v>
      </c>
      <c r="K103" s="80" t="b">
        <v>0</v>
      </c>
      <c r="L103" s="80" t="b">
        <v>0</v>
      </c>
    </row>
    <row r="104" spans="1:12" ht="15">
      <c r="A104" s="81" t="s">
        <v>2516</v>
      </c>
      <c r="B104" s="80" t="s">
        <v>2438</v>
      </c>
      <c r="C104" s="80">
        <v>3</v>
      </c>
      <c r="D104" s="109">
        <v>0.004650189815790579</v>
      </c>
      <c r="E104" s="109">
        <v>1.2341714683000886</v>
      </c>
      <c r="F104" s="80" t="s">
        <v>2349</v>
      </c>
      <c r="G104" s="80" t="b">
        <v>0</v>
      </c>
      <c r="H104" s="80" t="b">
        <v>0</v>
      </c>
      <c r="I104" s="80" t="b">
        <v>0</v>
      </c>
      <c r="J104" s="80" t="b">
        <v>0</v>
      </c>
      <c r="K104" s="80" t="b">
        <v>1</v>
      </c>
      <c r="L104" s="80" t="b">
        <v>0</v>
      </c>
    </row>
    <row r="105" spans="1:12" ht="15">
      <c r="A105" s="81" t="s">
        <v>2536</v>
      </c>
      <c r="B105" s="80" t="s">
        <v>2562</v>
      </c>
      <c r="C105" s="80">
        <v>3</v>
      </c>
      <c r="D105" s="109">
        <v>0.004650189815790579</v>
      </c>
      <c r="E105" s="109">
        <v>2.3698340703001617</v>
      </c>
      <c r="F105" s="80" t="s">
        <v>2349</v>
      </c>
      <c r="G105" s="80" t="b">
        <v>0</v>
      </c>
      <c r="H105" s="80" t="b">
        <v>0</v>
      </c>
      <c r="I105" s="80" t="b">
        <v>0</v>
      </c>
      <c r="J105" s="80" t="b">
        <v>0</v>
      </c>
      <c r="K105" s="80" t="b">
        <v>0</v>
      </c>
      <c r="L105" s="80" t="b">
        <v>0</v>
      </c>
    </row>
    <row r="106" spans="1:12" ht="15">
      <c r="A106" s="81" t="s">
        <v>2532</v>
      </c>
      <c r="B106" s="80" t="s">
        <v>2493</v>
      </c>
      <c r="C106" s="80">
        <v>3</v>
      </c>
      <c r="D106" s="109">
        <v>0.004650189815790579</v>
      </c>
      <c r="E106" s="109">
        <v>2.3698340703001617</v>
      </c>
      <c r="F106" s="80" t="s">
        <v>2349</v>
      </c>
      <c r="G106" s="80" t="b">
        <v>0</v>
      </c>
      <c r="H106" s="80" t="b">
        <v>0</v>
      </c>
      <c r="I106" s="80" t="b">
        <v>0</v>
      </c>
      <c r="J106" s="80" t="b">
        <v>0</v>
      </c>
      <c r="K106" s="80" t="b">
        <v>0</v>
      </c>
      <c r="L106" s="80" t="b">
        <v>0</v>
      </c>
    </row>
    <row r="107" spans="1:12" ht="15">
      <c r="A107" s="81" t="s">
        <v>2560</v>
      </c>
      <c r="B107" s="80" t="s">
        <v>2687</v>
      </c>
      <c r="C107" s="80">
        <v>2</v>
      </c>
      <c r="D107" s="109">
        <v>0.0035722210721598</v>
      </c>
      <c r="E107" s="109">
        <v>2.3698340703001617</v>
      </c>
      <c r="F107" s="80" t="s">
        <v>2349</v>
      </c>
      <c r="G107" s="80" t="b">
        <v>0</v>
      </c>
      <c r="H107" s="80" t="b">
        <v>0</v>
      </c>
      <c r="I107" s="80" t="b">
        <v>0</v>
      </c>
      <c r="J107" s="80" t="b">
        <v>0</v>
      </c>
      <c r="K107" s="80" t="b">
        <v>0</v>
      </c>
      <c r="L107" s="80" t="b">
        <v>0</v>
      </c>
    </row>
    <row r="108" spans="1:12" ht="15">
      <c r="A108" s="81" t="s">
        <v>2502</v>
      </c>
      <c r="B108" s="80" t="s">
        <v>2443</v>
      </c>
      <c r="C108" s="80">
        <v>2</v>
      </c>
      <c r="D108" s="109">
        <v>0.0035722210721598</v>
      </c>
      <c r="E108" s="109">
        <v>1.6294713808059178</v>
      </c>
      <c r="F108" s="80" t="s">
        <v>2349</v>
      </c>
      <c r="G108" s="80" t="b">
        <v>0</v>
      </c>
      <c r="H108" s="80" t="b">
        <v>0</v>
      </c>
      <c r="I108" s="80" t="b">
        <v>0</v>
      </c>
      <c r="J108" s="80" t="b">
        <v>0</v>
      </c>
      <c r="K108" s="80" t="b">
        <v>0</v>
      </c>
      <c r="L108" s="80" t="b">
        <v>0</v>
      </c>
    </row>
    <row r="109" spans="1:12" ht="15">
      <c r="A109" s="81" t="s">
        <v>2703</v>
      </c>
      <c r="B109" s="80" t="s">
        <v>2439</v>
      </c>
      <c r="C109" s="80">
        <v>2</v>
      </c>
      <c r="D109" s="109">
        <v>0.0035722210721598</v>
      </c>
      <c r="E109" s="109">
        <v>1.5916828199165178</v>
      </c>
      <c r="F109" s="80" t="s">
        <v>2349</v>
      </c>
      <c r="G109" s="80" t="b">
        <v>0</v>
      </c>
      <c r="H109" s="80" t="b">
        <v>0</v>
      </c>
      <c r="I109" s="80" t="b">
        <v>0</v>
      </c>
      <c r="J109" s="80" t="b">
        <v>0</v>
      </c>
      <c r="K109" s="80" t="b">
        <v>1</v>
      </c>
      <c r="L109" s="80" t="b">
        <v>0</v>
      </c>
    </row>
    <row r="110" spans="1:12" ht="15">
      <c r="A110" s="81" t="s">
        <v>2687</v>
      </c>
      <c r="B110" s="80" t="s">
        <v>2446</v>
      </c>
      <c r="C110" s="80">
        <v>2</v>
      </c>
      <c r="D110" s="109">
        <v>0.0035722210721598</v>
      </c>
      <c r="E110" s="109">
        <v>2.244895333691862</v>
      </c>
      <c r="F110" s="80" t="s">
        <v>2349</v>
      </c>
      <c r="G110" s="80" t="b">
        <v>0</v>
      </c>
      <c r="H110" s="80" t="b">
        <v>0</v>
      </c>
      <c r="I110" s="80" t="b">
        <v>0</v>
      </c>
      <c r="J110" s="80" t="b">
        <v>0</v>
      </c>
      <c r="K110" s="80" t="b">
        <v>0</v>
      </c>
      <c r="L110" s="80" t="b">
        <v>0</v>
      </c>
    </row>
    <row r="111" spans="1:12" ht="15">
      <c r="A111" s="81" t="s">
        <v>2558</v>
      </c>
      <c r="B111" s="80" t="s">
        <v>2576</v>
      </c>
      <c r="C111" s="80">
        <v>2</v>
      </c>
      <c r="D111" s="109">
        <v>0.0035722210721598</v>
      </c>
      <c r="E111" s="109">
        <v>2.3698340703001617</v>
      </c>
      <c r="F111" s="80" t="s">
        <v>2349</v>
      </c>
      <c r="G111" s="80" t="b">
        <v>0</v>
      </c>
      <c r="H111" s="80" t="b">
        <v>0</v>
      </c>
      <c r="I111" s="80" t="b">
        <v>0</v>
      </c>
      <c r="J111" s="80" t="b">
        <v>0</v>
      </c>
      <c r="K111" s="80" t="b">
        <v>0</v>
      </c>
      <c r="L111" s="80" t="b">
        <v>0</v>
      </c>
    </row>
    <row r="112" spans="1:12" ht="15">
      <c r="A112" s="81" t="s">
        <v>2438</v>
      </c>
      <c r="B112" s="80" t="s">
        <v>2586</v>
      </c>
      <c r="C112" s="80">
        <v>2</v>
      </c>
      <c r="D112" s="109">
        <v>0.0035722210721598</v>
      </c>
      <c r="E112" s="109">
        <v>1.2448953336918616</v>
      </c>
      <c r="F112" s="80" t="s">
        <v>2349</v>
      </c>
      <c r="G112" s="80" t="b">
        <v>0</v>
      </c>
      <c r="H112" s="80" t="b">
        <v>1</v>
      </c>
      <c r="I112" s="80" t="b">
        <v>0</v>
      </c>
      <c r="J112" s="80" t="b">
        <v>0</v>
      </c>
      <c r="K112" s="80" t="b">
        <v>0</v>
      </c>
      <c r="L112" s="80" t="b">
        <v>0</v>
      </c>
    </row>
    <row r="113" spans="1:12" ht="15">
      <c r="A113" s="81" t="s">
        <v>2439</v>
      </c>
      <c r="B113" s="80" t="s">
        <v>2585</v>
      </c>
      <c r="C113" s="80">
        <v>2</v>
      </c>
      <c r="D113" s="109">
        <v>0.0035722210721598</v>
      </c>
      <c r="E113" s="109">
        <v>1.3284413851419365</v>
      </c>
      <c r="F113" s="80" t="s">
        <v>2349</v>
      </c>
      <c r="G113" s="80" t="b">
        <v>0</v>
      </c>
      <c r="H113" s="80" t="b">
        <v>1</v>
      </c>
      <c r="I113" s="80" t="b">
        <v>0</v>
      </c>
      <c r="J113" s="80" t="b">
        <v>0</v>
      </c>
      <c r="K113" s="80" t="b">
        <v>0</v>
      </c>
      <c r="L113" s="80" t="b">
        <v>0</v>
      </c>
    </row>
    <row r="114" spans="1:12" ht="15">
      <c r="A114" s="81" t="s">
        <v>2562</v>
      </c>
      <c r="B114" s="80" t="s">
        <v>2441</v>
      </c>
      <c r="C114" s="80">
        <v>2</v>
      </c>
      <c r="D114" s="109">
        <v>0.0035722210721598</v>
      </c>
      <c r="E114" s="109">
        <v>1.7677740789721992</v>
      </c>
      <c r="F114" s="80" t="s">
        <v>2349</v>
      </c>
      <c r="G114" s="80" t="b">
        <v>0</v>
      </c>
      <c r="H114" s="80" t="b">
        <v>0</v>
      </c>
      <c r="I114" s="80" t="b">
        <v>0</v>
      </c>
      <c r="J114" s="80" t="b">
        <v>0</v>
      </c>
      <c r="K114" s="80" t="b">
        <v>0</v>
      </c>
      <c r="L114" s="80" t="b">
        <v>0</v>
      </c>
    </row>
    <row r="115" spans="1:12" ht="15">
      <c r="A115" s="81" t="s">
        <v>2452</v>
      </c>
      <c r="B115" s="80" t="s">
        <v>2438</v>
      </c>
      <c r="C115" s="80">
        <v>2</v>
      </c>
      <c r="D115" s="109">
        <v>0.0035722210721598</v>
      </c>
      <c r="E115" s="109">
        <v>1.0580802092444073</v>
      </c>
      <c r="F115" s="80" t="s">
        <v>2349</v>
      </c>
      <c r="G115" s="80" t="b">
        <v>0</v>
      </c>
      <c r="H115" s="80" t="b">
        <v>0</v>
      </c>
      <c r="I115" s="80" t="b">
        <v>0</v>
      </c>
      <c r="J115" s="80" t="b">
        <v>0</v>
      </c>
      <c r="K115" s="80" t="b">
        <v>1</v>
      </c>
      <c r="L115" s="80" t="b">
        <v>0</v>
      </c>
    </row>
    <row r="116" spans="1:12" ht="15">
      <c r="A116" s="81" t="s">
        <v>2446</v>
      </c>
      <c r="B116" s="80" t="s">
        <v>2443</v>
      </c>
      <c r="C116" s="80">
        <v>2</v>
      </c>
      <c r="D116" s="109">
        <v>0.0035722210721598</v>
      </c>
      <c r="E116" s="109">
        <v>1.5045326441976177</v>
      </c>
      <c r="F116" s="80" t="s">
        <v>2349</v>
      </c>
      <c r="G116" s="80" t="b">
        <v>0</v>
      </c>
      <c r="H116" s="80" t="b">
        <v>0</v>
      </c>
      <c r="I116" s="80" t="b">
        <v>0</v>
      </c>
      <c r="J116" s="80" t="b">
        <v>0</v>
      </c>
      <c r="K116" s="80" t="b">
        <v>0</v>
      </c>
      <c r="L116" s="80" t="b">
        <v>0</v>
      </c>
    </row>
    <row r="117" spans="1:12" ht="15">
      <c r="A117" s="81" t="s">
        <v>2453</v>
      </c>
      <c r="B117" s="80" t="s">
        <v>2438</v>
      </c>
      <c r="C117" s="80">
        <v>2</v>
      </c>
      <c r="D117" s="109">
        <v>0.0035722210721598</v>
      </c>
      <c r="E117" s="109">
        <v>1.2341714683000884</v>
      </c>
      <c r="F117" s="80" t="s">
        <v>2349</v>
      </c>
      <c r="G117" s="80" t="b">
        <v>0</v>
      </c>
      <c r="H117" s="80" t="b">
        <v>0</v>
      </c>
      <c r="I117" s="80" t="b">
        <v>0</v>
      </c>
      <c r="J117" s="80" t="b">
        <v>0</v>
      </c>
      <c r="K117" s="80" t="b">
        <v>1</v>
      </c>
      <c r="L117" s="80" t="b">
        <v>0</v>
      </c>
    </row>
    <row r="118" spans="1:12" ht="15">
      <c r="A118" s="81" t="s">
        <v>2445</v>
      </c>
      <c r="B118" s="80" t="s">
        <v>2441</v>
      </c>
      <c r="C118" s="80">
        <v>2</v>
      </c>
      <c r="D118" s="109">
        <v>0.0035722210721598</v>
      </c>
      <c r="E118" s="109">
        <v>1.466744083308218</v>
      </c>
      <c r="F118" s="80" t="s">
        <v>2349</v>
      </c>
      <c r="G118" s="80" t="b">
        <v>0</v>
      </c>
      <c r="H118" s="80" t="b">
        <v>0</v>
      </c>
      <c r="I118" s="80" t="b">
        <v>0</v>
      </c>
      <c r="J118" s="80" t="b">
        <v>0</v>
      </c>
      <c r="K118" s="80" t="b">
        <v>0</v>
      </c>
      <c r="L118" s="80" t="b">
        <v>0</v>
      </c>
    </row>
    <row r="119" spans="1:12" ht="15">
      <c r="A119" s="81" t="s">
        <v>2446</v>
      </c>
      <c r="B119" s="80" t="s">
        <v>2734</v>
      </c>
      <c r="C119" s="80">
        <v>2</v>
      </c>
      <c r="D119" s="109">
        <v>0.0035722210721598</v>
      </c>
      <c r="E119" s="109">
        <v>2.244895333691862</v>
      </c>
      <c r="F119" s="80" t="s">
        <v>2349</v>
      </c>
      <c r="G119" s="80" t="b">
        <v>0</v>
      </c>
      <c r="H119" s="80" t="b">
        <v>0</v>
      </c>
      <c r="I119" s="80" t="b">
        <v>0</v>
      </c>
      <c r="J119" s="80" t="b">
        <v>0</v>
      </c>
      <c r="K119" s="80" t="b">
        <v>0</v>
      </c>
      <c r="L119" s="80" t="b">
        <v>0</v>
      </c>
    </row>
    <row r="120" spans="1:12" ht="15">
      <c r="A120" s="81" t="s">
        <v>2585</v>
      </c>
      <c r="B120" s="80" t="s">
        <v>2599</v>
      </c>
      <c r="C120" s="80">
        <v>2</v>
      </c>
      <c r="D120" s="109">
        <v>0.0035722210721598</v>
      </c>
      <c r="E120" s="109">
        <v>2.3698340703001617</v>
      </c>
      <c r="F120" s="80" t="s">
        <v>2349</v>
      </c>
      <c r="G120" s="80" t="b">
        <v>0</v>
      </c>
      <c r="H120" s="80" t="b">
        <v>0</v>
      </c>
      <c r="I120" s="80" t="b">
        <v>0</v>
      </c>
      <c r="J120" s="80" t="b">
        <v>0</v>
      </c>
      <c r="K120" s="80" t="b">
        <v>1</v>
      </c>
      <c r="L120" s="80" t="b">
        <v>0</v>
      </c>
    </row>
    <row r="121" spans="1:12" ht="15">
      <c r="A121" s="81" t="s">
        <v>2684</v>
      </c>
      <c r="B121" s="80" t="s">
        <v>2492</v>
      </c>
      <c r="C121" s="80">
        <v>2</v>
      </c>
      <c r="D121" s="109">
        <v>0.004379271998872886</v>
      </c>
      <c r="E121" s="109">
        <v>2.5459253293558426</v>
      </c>
      <c r="F121" s="80" t="s">
        <v>2349</v>
      </c>
      <c r="G121" s="80" t="b">
        <v>0</v>
      </c>
      <c r="H121" s="80" t="b">
        <v>0</v>
      </c>
      <c r="I121" s="80" t="b">
        <v>0</v>
      </c>
      <c r="J121" s="80" t="b">
        <v>0</v>
      </c>
      <c r="K121" s="80" t="b">
        <v>0</v>
      </c>
      <c r="L121" s="80" t="b">
        <v>0</v>
      </c>
    </row>
    <row r="122" spans="1:12" ht="15">
      <c r="A122" s="81" t="s">
        <v>2606</v>
      </c>
      <c r="B122" s="80" t="s">
        <v>2656</v>
      </c>
      <c r="C122" s="80">
        <v>2</v>
      </c>
      <c r="D122" s="109">
        <v>0.004379271998872886</v>
      </c>
      <c r="E122" s="109">
        <v>2.5459253293558426</v>
      </c>
      <c r="F122" s="80" t="s">
        <v>2349</v>
      </c>
      <c r="G122" s="80" t="b">
        <v>0</v>
      </c>
      <c r="H122" s="80" t="b">
        <v>0</v>
      </c>
      <c r="I122" s="80" t="b">
        <v>0</v>
      </c>
      <c r="J122" s="80" t="b">
        <v>0</v>
      </c>
      <c r="K122" s="80" t="b">
        <v>0</v>
      </c>
      <c r="L122" s="80" t="b">
        <v>0</v>
      </c>
    </row>
    <row r="123" spans="1:12" ht="15">
      <c r="A123" s="81" t="s">
        <v>2734</v>
      </c>
      <c r="B123" s="80" t="s">
        <v>2497</v>
      </c>
      <c r="C123" s="80">
        <v>2</v>
      </c>
      <c r="D123" s="109">
        <v>0.0035722210721598</v>
      </c>
      <c r="E123" s="109">
        <v>2.3698340703001617</v>
      </c>
      <c r="F123" s="80" t="s">
        <v>2349</v>
      </c>
      <c r="G123" s="80" t="b">
        <v>0</v>
      </c>
      <c r="H123" s="80" t="b">
        <v>0</v>
      </c>
      <c r="I123" s="80" t="b">
        <v>0</v>
      </c>
      <c r="J123" s="80" t="b">
        <v>0</v>
      </c>
      <c r="K123" s="80" t="b">
        <v>0</v>
      </c>
      <c r="L123" s="80" t="b">
        <v>0</v>
      </c>
    </row>
    <row r="124" spans="1:12" ht="15">
      <c r="A124" s="81" t="s">
        <v>2497</v>
      </c>
      <c r="B124" s="80" t="s">
        <v>2680</v>
      </c>
      <c r="C124" s="80">
        <v>2</v>
      </c>
      <c r="D124" s="109">
        <v>0.0035722210721598</v>
      </c>
      <c r="E124" s="109">
        <v>2.3698340703001617</v>
      </c>
      <c r="F124" s="80" t="s">
        <v>2349</v>
      </c>
      <c r="G124" s="80" t="b">
        <v>0</v>
      </c>
      <c r="H124" s="80" t="b">
        <v>0</v>
      </c>
      <c r="I124" s="80" t="b">
        <v>0</v>
      </c>
      <c r="J124" s="80" t="b">
        <v>0</v>
      </c>
      <c r="K124" s="80" t="b">
        <v>0</v>
      </c>
      <c r="L124" s="80" t="b">
        <v>0</v>
      </c>
    </row>
    <row r="125" spans="1:12" ht="15">
      <c r="A125" s="81" t="s">
        <v>2447</v>
      </c>
      <c r="B125" s="80" t="s">
        <v>2438</v>
      </c>
      <c r="C125" s="80">
        <v>2</v>
      </c>
      <c r="D125" s="109">
        <v>0.0035722210721598</v>
      </c>
      <c r="E125" s="109">
        <v>0.9331414726361072</v>
      </c>
      <c r="F125" s="80" t="s">
        <v>2349</v>
      </c>
      <c r="G125" s="80" t="b">
        <v>0</v>
      </c>
      <c r="H125" s="80" t="b">
        <v>0</v>
      </c>
      <c r="I125" s="80" t="b">
        <v>0</v>
      </c>
      <c r="J125" s="80" t="b">
        <v>0</v>
      </c>
      <c r="K125" s="80" t="b">
        <v>1</v>
      </c>
      <c r="L125" s="80" t="b">
        <v>0</v>
      </c>
    </row>
    <row r="126" spans="1:12" ht="15">
      <c r="A126" s="81" t="s">
        <v>2471</v>
      </c>
      <c r="B126" s="80" t="s">
        <v>2560</v>
      </c>
      <c r="C126" s="80">
        <v>2</v>
      </c>
      <c r="D126" s="109">
        <v>0.0035722210721598</v>
      </c>
      <c r="E126" s="109">
        <v>2.3698340703001617</v>
      </c>
      <c r="F126" s="80" t="s">
        <v>2349</v>
      </c>
      <c r="G126" s="80" t="b">
        <v>0</v>
      </c>
      <c r="H126" s="80" t="b">
        <v>0</v>
      </c>
      <c r="I126" s="80" t="b">
        <v>0</v>
      </c>
      <c r="J126" s="80" t="b">
        <v>0</v>
      </c>
      <c r="K126" s="80" t="b">
        <v>0</v>
      </c>
      <c r="L126" s="80" t="b">
        <v>0</v>
      </c>
    </row>
    <row r="127" spans="1:12" ht="15">
      <c r="A127" s="81" t="s">
        <v>2438</v>
      </c>
      <c r="B127" s="80" t="s">
        <v>2470</v>
      </c>
      <c r="C127" s="80">
        <v>2</v>
      </c>
      <c r="D127" s="109">
        <v>0.0035722210721598</v>
      </c>
      <c r="E127" s="109">
        <v>0.846955325019824</v>
      </c>
      <c r="F127" s="80" t="s">
        <v>2349</v>
      </c>
      <c r="G127" s="80" t="b">
        <v>0</v>
      </c>
      <c r="H127" s="80" t="b">
        <v>1</v>
      </c>
      <c r="I127" s="80" t="b">
        <v>0</v>
      </c>
      <c r="J127" s="80" t="b">
        <v>0</v>
      </c>
      <c r="K127" s="80" t="b">
        <v>0</v>
      </c>
      <c r="L127" s="80" t="b">
        <v>0</v>
      </c>
    </row>
    <row r="128" spans="1:12" ht="15">
      <c r="A128" s="81" t="s">
        <v>2592</v>
      </c>
      <c r="B128" s="80" t="s">
        <v>2502</v>
      </c>
      <c r="C128" s="80">
        <v>2</v>
      </c>
      <c r="D128" s="109">
        <v>0.0035722210721598</v>
      </c>
      <c r="E128" s="109">
        <v>2.1937428112444803</v>
      </c>
      <c r="F128" s="80" t="s">
        <v>2349</v>
      </c>
      <c r="G128" s="80" t="b">
        <v>0</v>
      </c>
      <c r="H128" s="80" t="b">
        <v>0</v>
      </c>
      <c r="I128" s="80" t="b">
        <v>0</v>
      </c>
      <c r="J128" s="80" t="b">
        <v>0</v>
      </c>
      <c r="K128" s="80" t="b">
        <v>0</v>
      </c>
      <c r="L128" s="80" t="b">
        <v>0</v>
      </c>
    </row>
    <row r="129" spans="1:12" ht="15">
      <c r="A129" s="81" t="s">
        <v>2445</v>
      </c>
      <c r="B129" s="80" t="s">
        <v>2703</v>
      </c>
      <c r="C129" s="80">
        <v>2</v>
      </c>
      <c r="D129" s="109">
        <v>0.0035722210721598</v>
      </c>
      <c r="E129" s="109">
        <v>2.0688040746361804</v>
      </c>
      <c r="F129" s="80" t="s">
        <v>2349</v>
      </c>
      <c r="G129" s="80" t="b">
        <v>0</v>
      </c>
      <c r="H129" s="80" t="b">
        <v>0</v>
      </c>
      <c r="I129" s="80" t="b">
        <v>0</v>
      </c>
      <c r="J129" s="80" t="b">
        <v>0</v>
      </c>
      <c r="K129" s="80" t="b">
        <v>0</v>
      </c>
      <c r="L129" s="80" t="b">
        <v>0</v>
      </c>
    </row>
    <row r="130" spans="1:12" ht="15">
      <c r="A130" s="81" t="s">
        <v>2438</v>
      </c>
      <c r="B130" s="80" t="s">
        <v>2557</v>
      </c>
      <c r="C130" s="80">
        <v>2</v>
      </c>
      <c r="D130" s="109">
        <v>0.0035722210721598</v>
      </c>
      <c r="E130" s="109">
        <v>1.2448953336918616</v>
      </c>
      <c r="F130" s="80" t="s">
        <v>2349</v>
      </c>
      <c r="G130" s="80" t="b">
        <v>0</v>
      </c>
      <c r="H130" s="80" t="b">
        <v>1</v>
      </c>
      <c r="I130" s="80" t="b">
        <v>0</v>
      </c>
      <c r="J130" s="80" t="b">
        <v>0</v>
      </c>
      <c r="K130" s="80" t="b">
        <v>0</v>
      </c>
      <c r="L130" s="80" t="b">
        <v>0</v>
      </c>
    </row>
    <row r="131" spans="1:12" ht="15">
      <c r="A131" s="81" t="s">
        <v>2443</v>
      </c>
      <c r="B131" s="80" t="s">
        <v>2471</v>
      </c>
      <c r="C131" s="80">
        <v>2</v>
      </c>
      <c r="D131" s="109">
        <v>0.0035722210721598</v>
      </c>
      <c r="E131" s="109">
        <v>1.805562639861599</v>
      </c>
      <c r="F131" s="80" t="s">
        <v>2349</v>
      </c>
      <c r="G131" s="80" t="b">
        <v>0</v>
      </c>
      <c r="H131" s="80" t="b">
        <v>0</v>
      </c>
      <c r="I131" s="80" t="b">
        <v>0</v>
      </c>
      <c r="J131" s="80" t="b">
        <v>0</v>
      </c>
      <c r="K131" s="80" t="b">
        <v>0</v>
      </c>
      <c r="L131" s="80" t="b">
        <v>0</v>
      </c>
    </row>
    <row r="132" spans="1:12" ht="15">
      <c r="A132" s="81" t="s">
        <v>2495</v>
      </c>
      <c r="B132" s="80" t="s">
        <v>2438</v>
      </c>
      <c r="C132" s="80">
        <v>2</v>
      </c>
      <c r="D132" s="109">
        <v>0.0035722210721598</v>
      </c>
      <c r="E132" s="109">
        <v>1.2341714683000884</v>
      </c>
      <c r="F132" s="80" t="s">
        <v>2349</v>
      </c>
      <c r="G132" s="80" t="b">
        <v>0</v>
      </c>
      <c r="H132" s="80" t="b">
        <v>0</v>
      </c>
      <c r="I132" s="80" t="b">
        <v>0</v>
      </c>
      <c r="J132" s="80" t="b">
        <v>0</v>
      </c>
      <c r="K132" s="80" t="b">
        <v>1</v>
      </c>
      <c r="L132" s="80" t="b">
        <v>0</v>
      </c>
    </row>
    <row r="133" spans="1:12" ht="15">
      <c r="A133" s="81" t="s">
        <v>2441</v>
      </c>
      <c r="B133" s="80" t="s">
        <v>2468</v>
      </c>
      <c r="C133" s="80">
        <v>2</v>
      </c>
      <c r="D133" s="109">
        <v>0.0035722210721598</v>
      </c>
      <c r="E133" s="109">
        <v>1.5916828199165178</v>
      </c>
      <c r="F133" s="80" t="s">
        <v>2349</v>
      </c>
      <c r="G133" s="80" t="b">
        <v>0</v>
      </c>
      <c r="H133" s="80" t="b">
        <v>0</v>
      </c>
      <c r="I133" s="80" t="b">
        <v>0</v>
      </c>
      <c r="J133" s="80" t="b">
        <v>0</v>
      </c>
      <c r="K133" s="80" t="b">
        <v>0</v>
      </c>
      <c r="L133" s="80" t="b">
        <v>0</v>
      </c>
    </row>
    <row r="134" spans="1:12" ht="15">
      <c r="A134" s="81" t="s">
        <v>2468</v>
      </c>
      <c r="B134" s="80" t="s">
        <v>2536</v>
      </c>
      <c r="C134" s="80">
        <v>2</v>
      </c>
      <c r="D134" s="109">
        <v>0.0035722210721598</v>
      </c>
      <c r="E134" s="109">
        <v>2.244895333691862</v>
      </c>
      <c r="F134" s="80" t="s">
        <v>2349</v>
      </c>
      <c r="G134" s="80" t="b">
        <v>0</v>
      </c>
      <c r="H134" s="80" t="b">
        <v>0</v>
      </c>
      <c r="I134" s="80" t="b">
        <v>0</v>
      </c>
      <c r="J134" s="80" t="b">
        <v>0</v>
      </c>
      <c r="K134" s="80" t="b">
        <v>0</v>
      </c>
      <c r="L134" s="80" t="b">
        <v>0</v>
      </c>
    </row>
    <row r="135" spans="1:12" ht="15">
      <c r="A135" s="81" t="s">
        <v>2438</v>
      </c>
      <c r="B135" s="80" t="s">
        <v>2592</v>
      </c>
      <c r="C135" s="80">
        <v>2</v>
      </c>
      <c r="D135" s="109">
        <v>0.0035722210721598</v>
      </c>
      <c r="E135" s="109">
        <v>1.0688040746361802</v>
      </c>
      <c r="F135" s="80" t="s">
        <v>2349</v>
      </c>
      <c r="G135" s="80" t="b">
        <v>0</v>
      </c>
      <c r="H135" s="80" t="b">
        <v>1</v>
      </c>
      <c r="I135" s="80" t="b">
        <v>0</v>
      </c>
      <c r="J135" s="80" t="b">
        <v>0</v>
      </c>
      <c r="K135" s="80" t="b">
        <v>0</v>
      </c>
      <c r="L135" s="80" t="b">
        <v>0</v>
      </c>
    </row>
    <row r="136" spans="1:12" ht="15">
      <c r="A136" s="81" t="s">
        <v>2438</v>
      </c>
      <c r="B136" s="80" t="s">
        <v>2489</v>
      </c>
      <c r="C136" s="80">
        <v>3</v>
      </c>
      <c r="D136" s="109">
        <v>0.009728817766182113</v>
      </c>
      <c r="E136" s="109">
        <v>0.9489461696293764</v>
      </c>
      <c r="F136" s="80" t="s">
        <v>2350</v>
      </c>
      <c r="G136" s="80" t="b">
        <v>0</v>
      </c>
      <c r="H136" s="80" t="b">
        <v>1</v>
      </c>
      <c r="I136" s="80" t="b">
        <v>0</v>
      </c>
      <c r="J136" s="80" t="b">
        <v>0</v>
      </c>
      <c r="K136" s="80" t="b">
        <v>0</v>
      </c>
      <c r="L136" s="80" t="b">
        <v>0</v>
      </c>
    </row>
    <row r="137" spans="1:12" ht="15">
      <c r="A137" s="81" t="s">
        <v>363</v>
      </c>
      <c r="B137" s="80" t="s">
        <v>298</v>
      </c>
      <c r="C137" s="80">
        <v>2</v>
      </c>
      <c r="D137" s="109">
        <v>0.008509915971198205</v>
      </c>
      <c r="E137" s="109">
        <v>1.9111576087399766</v>
      </c>
      <c r="F137" s="80" t="s">
        <v>2350</v>
      </c>
      <c r="G137" s="80" t="b">
        <v>0</v>
      </c>
      <c r="H137" s="80" t="b">
        <v>0</v>
      </c>
      <c r="I137" s="80" t="b">
        <v>0</v>
      </c>
      <c r="J137" s="80" t="b">
        <v>0</v>
      </c>
      <c r="K137" s="80" t="b">
        <v>0</v>
      </c>
      <c r="L137" s="80" t="b">
        <v>0</v>
      </c>
    </row>
    <row r="138" spans="1:12" ht="15">
      <c r="A138" s="81" t="s">
        <v>2438</v>
      </c>
      <c r="B138" s="80" t="s">
        <v>2667</v>
      </c>
      <c r="C138" s="80">
        <v>2</v>
      </c>
      <c r="D138" s="109">
        <v>0.008509915971198205</v>
      </c>
      <c r="E138" s="109">
        <v>1.1707949192457328</v>
      </c>
      <c r="F138" s="80" t="s">
        <v>2350</v>
      </c>
      <c r="G138" s="80" t="b">
        <v>0</v>
      </c>
      <c r="H138" s="80" t="b">
        <v>1</v>
      </c>
      <c r="I138" s="80" t="b">
        <v>0</v>
      </c>
      <c r="J138" s="80" t="b">
        <v>0</v>
      </c>
      <c r="K138" s="80" t="b">
        <v>0</v>
      </c>
      <c r="L138" s="80" t="b">
        <v>0</v>
      </c>
    </row>
    <row r="139" spans="1:12" ht="15">
      <c r="A139" s="81" t="s">
        <v>298</v>
      </c>
      <c r="B139" s="80" t="s">
        <v>350</v>
      </c>
      <c r="C139" s="80">
        <v>2</v>
      </c>
      <c r="D139" s="109">
        <v>0.008509915971198205</v>
      </c>
      <c r="E139" s="109">
        <v>1.9111576087399766</v>
      </c>
      <c r="F139" s="80" t="s">
        <v>2350</v>
      </c>
      <c r="G139" s="80" t="b">
        <v>0</v>
      </c>
      <c r="H139" s="80" t="b">
        <v>0</v>
      </c>
      <c r="I139" s="80" t="b">
        <v>0</v>
      </c>
      <c r="J139" s="80" t="b">
        <v>0</v>
      </c>
      <c r="K139" s="80" t="b">
        <v>0</v>
      </c>
      <c r="L139" s="80" t="b">
        <v>0</v>
      </c>
    </row>
    <row r="140" spans="1:12" ht="15">
      <c r="A140" s="81" t="s">
        <v>2438</v>
      </c>
      <c r="B140" s="80" t="s">
        <v>2448</v>
      </c>
      <c r="C140" s="80">
        <v>3</v>
      </c>
      <c r="D140" s="109">
        <v>0.010034333188799373</v>
      </c>
      <c r="E140" s="109">
        <v>1.100370545117563</v>
      </c>
      <c r="F140" s="80" t="s">
        <v>2351</v>
      </c>
      <c r="G140" s="80" t="b">
        <v>0</v>
      </c>
      <c r="H140" s="80" t="b">
        <v>1</v>
      </c>
      <c r="I140" s="80" t="b">
        <v>0</v>
      </c>
      <c r="J140" s="80" t="b">
        <v>0</v>
      </c>
      <c r="K140" s="80" t="b">
        <v>0</v>
      </c>
      <c r="L140" s="80" t="b">
        <v>0</v>
      </c>
    </row>
    <row r="141" spans="1:12" ht="15">
      <c r="A141" s="81" t="s">
        <v>2440</v>
      </c>
      <c r="B141" s="80" t="s">
        <v>2600</v>
      </c>
      <c r="C141" s="80">
        <v>2</v>
      </c>
      <c r="D141" s="109">
        <v>0.017292250008525415</v>
      </c>
      <c r="E141" s="109">
        <v>1.6232492903979006</v>
      </c>
      <c r="F141" s="80" t="s">
        <v>2351</v>
      </c>
      <c r="G141" s="80" t="b">
        <v>0</v>
      </c>
      <c r="H141" s="80" t="b">
        <v>0</v>
      </c>
      <c r="I141" s="80" t="b">
        <v>0</v>
      </c>
      <c r="J141" s="80" t="b">
        <v>0</v>
      </c>
      <c r="K141" s="80" t="b">
        <v>0</v>
      </c>
      <c r="L141" s="80" t="b">
        <v>0</v>
      </c>
    </row>
    <row r="142" spans="1:12" ht="15">
      <c r="A142" s="81" t="s">
        <v>2609</v>
      </c>
      <c r="B142" s="80" t="s">
        <v>2538</v>
      </c>
      <c r="C142" s="80">
        <v>2</v>
      </c>
      <c r="D142" s="109">
        <v>0.010602694549325832</v>
      </c>
      <c r="E142" s="109">
        <v>1.4471580313422192</v>
      </c>
      <c r="F142" s="80" t="s">
        <v>2351</v>
      </c>
      <c r="G142" s="80" t="b">
        <v>0</v>
      </c>
      <c r="H142" s="80" t="b">
        <v>0</v>
      </c>
      <c r="I142" s="80" t="b">
        <v>0</v>
      </c>
      <c r="J142" s="80" t="b">
        <v>0</v>
      </c>
      <c r="K142" s="80" t="b">
        <v>0</v>
      </c>
      <c r="L142" s="80" t="b">
        <v>0</v>
      </c>
    </row>
    <row r="143" spans="1:12" ht="15">
      <c r="A143" s="81" t="s">
        <v>2524</v>
      </c>
      <c r="B143" s="80" t="s">
        <v>2609</v>
      </c>
      <c r="C143" s="80">
        <v>2</v>
      </c>
      <c r="D143" s="109">
        <v>0.010602694549325832</v>
      </c>
      <c r="E143" s="109">
        <v>1.6232492903979006</v>
      </c>
      <c r="F143" s="80" t="s">
        <v>2351</v>
      </c>
      <c r="G143" s="80" t="b">
        <v>0</v>
      </c>
      <c r="H143" s="80" t="b">
        <v>0</v>
      </c>
      <c r="I143" s="80" t="b">
        <v>0</v>
      </c>
      <c r="J143" s="80" t="b">
        <v>0</v>
      </c>
      <c r="K143" s="80" t="b">
        <v>0</v>
      </c>
      <c r="L143" s="80" t="b">
        <v>0</v>
      </c>
    </row>
    <row r="144" spans="1:12" ht="15">
      <c r="A144" s="81" t="s">
        <v>2490</v>
      </c>
      <c r="B144" s="80" t="s">
        <v>2501</v>
      </c>
      <c r="C144" s="80">
        <v>2</v>
      </c>
      <c r="D144" s="109">
        <v>0.0056803631953445555</v>
      </c>
      <c r="E144" s="109">
        <v>1.469822015978163</v>
      </c>
      <c r="F144" s="80" t="s">
        <v>2352</v>
      </c>
      <c r="G144" s="80" t="b">
        <v>0</v>
      </c>
      <c r="H144" s="80" t="b">
        <v>0</v>
      </c>
      <c r="I144" s="80" t="b">
        <v>0</v>
      </c>
      <c r="J144" s="80" t="b">
        <v>0</v>
      </c>
      <c r="K144" s="80" t="b">
        <v>0</v>
      </c>
      <c r="L144" s="80" t="b">
        <v>0</v>
      </c>
    </row>
    <row r="145" spans="1:12" ht="15">
      <c r="A145" s="81" t="s">
        <v>2439</v>
      </c>
      <c r="B145" s="80" t="s">
        <v>2438</v>
      </c>
      <c r="C145" s="80">
        <v>2</v>
      </c>
      <c r="D145" s="109">
        <v>0.006178640668620394</v>
      </c>
      <c r="E145" s="109">
        <v>1.4313637641589874</v>
      </c>
      <c r="F145" s="80" t="s">
        <v>2372</v>
      </c>
      <c r="G145" s="80" t="b">
        <v>0</v>
      </c>
      <c r="H145" s="80" t="b">
        <v>1</v>
      </c>
      <c r="I145" s="80" t="b">
        <v>0</v>
      </c>
      <c r="J145" s="80" t="b">
        <v>0</v>
      </c>
      <c r="K145" s="80" t="b">
        <v>1</v>
      </c>
      <c r="L145" s="80" t="b">
        <v>0</v>
      </c>
    </row>
    <row r="146" spans="1:12" ht="15">
      <c r="A146" s="81" t="s">
        <v>2584</v>
      </c>
      <c r="B146" s="80" t="s">
        <v>2484</v>
      </c>
      <c r="C146" s="80">
        <v>2</v>
      </c>
      <c r="D146" s="109">
        <v>0</v>
      </c>
      <c r="E146" s="109">
        <v>0.9138138523837167</v>
      </c>
      <c r="F146" s="80" t="s">
        <v>2381</v>
      </c>
      <c r="G146" s="80" t="b">
        <v>0</v>
      </c>
      <c r="H146" s="80" t="b">
        <v>0</v>
      </c>
      <c r="I146" s="80" t="b">
        <v>0</v>
      </c>
      <c r="J146" s="80" t="b">
        <v>0</v>
      </c>
      <c r="K146" s="80" t="b">
        <v>0</v>
      </c>
      <c r="L146" s="80" t="b">
        <v>0</v>
      </c>
    </row>
    <row r="147" spans="1:12" ht="15">
      <c r="A147" s="81" t="s">
        <v>2475</v>
      </c>
      <c r="B147" s="80" t="s">
        <v>2786</v>
      </c>
      <c r="C147" s="80">
        <v>2</v>
      </c>
      <c r="D147" s="109">
        <v>0.014001395147161916</v>
      </c>
      <c r="E147" s="109">
        <v>1.135662602000073</v>
      </c>
      <c r="F147" s="80" t="s">
        <v>2381</v>
      </c>
      <c r="G147" s="80" t="b">
        <v>0</v>
      </c>
      <c r="H147" s="80" t="b">
        <v>0</v>
      </c>
      <c r="I147" s="80" t="b">
        <v>0</v>
      </c>
      <c r="J147" s="80" t="b">
        <v>0</v>
      </c>
      <c r="K147" s="80" t="b">
        <v>0</v>
      </c>
      <c r="L147" s="80" t="b">
        <v>0</v>
      </c>
    </row>
    <row r="148" spans="1:12" ht="15">
      <c r="A148" s="81" t="s">
        <v>2618</v>
      </c>
      <c r="B148" s="80" t="s">
        <v>2449</v>
      </c>
      <c r="C148" s="80">
        <v>2</v>
      </c>
      <c r="D148" s="109">
        <v>0</v>
      </c>
      <c r="E148" s="109">
        <v>0.9294189257142927</v>
      </c>
      <c r="F148" s="80" t="s">
        <v>2393</v>
      </c>
      <c r="G148" s="80" t="b">
        <v>0</v>
      </c>
      <c r="H148" s="80" t="b">
        <v>1</v>
      </c>
      <c r="I148" s="80" t="b">
        <v>0</v>
      </c>
      <c r="J148" s="80" t="b">
        <v>0</v>
      </c>
      <c r="K148" s="80" t="b">
        <v>0</v>
      </c>
      <c r="L148" s="80" t="b">
        <v>0</v>
      </c>
    </row>
    <row r="149" spans="1:12" ht="15">
      <c r="A149" s="81" t="s">
        <v>2675</v>
      </c>
      <c r="B149" s="80" t="s">
        <v>2747</v>
      </c>
      <c r="C149" s="80">
        <v>2</v>
      </c>
      <c r="D149" s="109">
        <v>0</v>
      </c>
      <c r="E149" s="109">
        <v>1.0606978403536116</v>
      </c>
      <c r="F149" s="80" t="s">
        <v>2404</v>
      </c>
      <c r="G149" s="80" t="b">
        <v>0</v>
      </c>
      <c r="H149" s="80" t="b">
        <v>0</v>
      </c>
      <c r="I149" s="80" t="b">
        <v>0</v>
      </c>
      <c r="J149" s="80" t="b">
        <v>0</v>
      </c>
      <c r="K149" s="80" t="b">
        <v>0</v>
      </c>
      <c r="L149" s="80" t="b">
        <v>0</v>
      </c>
    </row>
    <row r="150" spans="1:12" ht="15">
      <c r="A150" s="81" t="s">
        <v>2439</v>
      </c>
      <c r="B150" s="80" t="s">
        <v>2438</v>
      </c>
      <c r="C150" s="80">
        <v>2</v>
      </c>
      <c r="D150" s="109">
        <v>0</v>
      </c>
      <c r="E150" s="109">
        <v>1.130333768495006</v>
      </c>
      <c r="F150" s="80" t="s">
        <v>2407</v>
      </c>
      <c r="G150" s="80" t="b">
        <v>0</v>
      </c>
      <c r="H150" s="80" t="b">
        <v>1</v>
      </c>
      <c r="I150" s="80" t="b">
        <v>0</v>
      </c>
      <c r="J150" s="80" t="b">
        <v>0</v>
      </c>
      <c r="K150" s="80" t="b">
        <v>1</v>
      </c>
      <c r="L150" s="80" t="b">
        <v>0</v>
      </c>
    </row>
    <row r="151" spans="1:12" ht="15">
      <c r="A151" s="81" t="s">
        <v>2458</v>
      </c>
      <c r="B151" s="80" t="s">
        <v>2466</v>
      </c>
      <c r="C151" s="80">
        <v>2</v>
      </c>
      <c r="D151" s="109">
        <v>0</v>
      </c>
      <c r="E151" s="109">
        <v>1.2671717284030137</v>
      </c>
      <c r="F151" s="80" t="s">
        <v>2409</v>
      </c>
      <c r="G151" s="80" t="b">
        <v>1</v>
      </c>
      <c r="H151" s="80" t="b">
        <v>0</v>
      </c>
      <c r="I151" s="80" t="b">
        <v>0</v>
      </c>
      <c r="J151" s="80" t="b">
        <v>0</v>
      </c>
      <c r="K151" s="80" t="b">
        <v>0</v>
      </c>
      <c r="L15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2024-01-30T17:15:59Z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